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worksheets/sheet9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0" windowWidth="0" windowHeight="0" tabRatio="600" firstSheet="4" activeTab="3" autoFilterDateGrouping="1"/>
  </bookViews>
  <sheets>
    <sheet xmlns:r="http://schemas.openxmlformats.org/officeDocument/2006/relationships" name="Cash_Flow&amp;summary" sheetId="1" state="visible" r:id="rId1"/>
    <sheet xmlns:r="http://schemas.openxmlformats.org/officeDocument/2006/relationships" name="Proforma_P&amp;L_Annual" sheetId="2" state="visible" r:id="rId2"/>
    <sheet xmlns:r="http://schemas.openxmlformats.org/officeDocument/2006/relationships" name="Proforma_P&amp;L_Monthly" sheetId="3" state="visible" r:id="rId3"/>
    <sheet xmlns:r="http://schemas.openxmlformats.org/officeDocument/2006/relationships" name="Cost" sheetId="4" state="visible" r:id="rId4"/>
    <sheet xmlns:r="http://schemas.openxmlformats.org/officeDocument/2006/relationships" name="Best_Case_B2B_Revenue_Build" sheetId="5" state="visible" r:id="rId5"/>
    <sheet xmlns:r="http://schemas.openxmlformats.org/officeDocument/2006/relationships" name="Detailed_Headcount" sheetId="6" state="visible" r:id="rId6"/>
    <sheet xmlns:r="http://schemas.openxmlformats.org/officeDocument/2006/relationships" name="Input" sheetId="7" state="hidden" r:id="rId7"/>
    <sheet xmlns:r="http://schemas.openxmlformats.org/officeDocument/2006/relationships" name="Charts" sheetId="8" state="visible" r:id="rId8"/>
    <sheet xmlns:r="http://schemas.openxmlformats.org/officeDocument/2006/relationships" name="Use_of_Funds_Series_A" sheetId="9" state="visible" r:id="rId9"/>
  </sheets>
  <definedNames>
    <definedName name="BonusPoolScenario1">#REF!</definedName>
    <definedName name="BonusPoolScenario2">#REF!</definedName>
    <definedName name="BonusPoolScenario3">#REF!</definedName>
    <definedName name="Frequency">#REF!</definedName>
    <definedName name="IncomeScenario1">#REF!</definedName>
    <definedName name="IncomeScenario1Asia">#REF!</definedName>
    <definedName name="IncomeScenario1Biopharma">#REF!</definedName>
    <definedName name="IncomeScenario1Europe">#REF!</definedName>
    <definedName name="IncomeScenario1Financing">#REF!</definedName>
    <definedName name="IncomeScenario1Medtech">#REF!</definedName>
    <definedName name="IncomeScenario1SandA">#REF!</definedName>
    <definedName name="IncomeScenario2">#REF!</definedName>
    <definedName name="IncomeScenario2Asia">#REF!</definedName>
    <definedName name="IncomeScenario2Biopharma">#REF!</definedName>
    <definedName name="IncomeScenario2Europe">#REF!</definedName>
    <definedName name="IncomeScenario2Financing">#REF!</definedName>
    <definedName name="IncomeScenario2Medtech">#REF!</definedName>
    <definedName name="IncomeScenario2SandA">#REF!</definedName>
    <definedName name="IncomeScenario3">#REF!</definedName>
    <definedName name="IncomeScenario3Asia">#REF!</definedName>
    <definedName name="IncomeScenario3Biopharma">#REF!</definedName>
    <definedName name="IncomeScenario3Europe">#REF!</definedName>
    <definedName name="IncomeScenario3Financing">#REF!</definedName>
    <definedName name="IncomeScenario3Medtech">#REF!</definedName>
    <definedName name="IncomeScenario3SandA">#REF!</definedName>
    <definedName name="ProfitScenario1">#REF!</definedName>
    <definedName name="ProfitScenario2">#REF!</definedName>
    <definedName name="ProfitScenario3">#REF!</definedName>
    <definedName name="ARPA">Input!$B$5</definedName>
    <definedName name="SHARE_SMB">Input!$B$6</definedName>
    <definedName name="SHARE_MID">Input!$B$7</definedName>
    <definedName name="SHARE_ENT">Input!$B$8</definedName>
    <definedName name="PRICE_SMB">Input!$B$9</definedName>
    <definedName name="PRICE_MID">Input!$B$10</definedName>
    <definedName name="PRICE_ENT">Input!$B$11</definedName>
    <definedName name="SALES_START_M">Input!$B$14</definedName>
    <definedName name="NEW_CUST_M1">Input!$B$15</definedName>
    <definedName name="NEW_CUST_GROWTH">Input!$B$16</definedName>
    <definedName name="CHURN_M">Input!$B$17</definedName>
    <definedName name="CLOUD_PER_CUST">Input!$B$20</definedName>
    <definedName name="OPEX_FIXED_M">Input!$B$21</definedName>
    <definedName name="SALARY_GROSS_M">Input!$B$22</definedName>
    <definedName name="EMPLOYER_ONCOST">Input!$B$23</definedName>
    <definedName name="START_CASH">Input!$B$26</definedName>
    <definedName name="FUNDING_AMOUNT">Input!$B$27</definedName>
    <definedName name="FUNDING_MONTH">Input!$B$28</definedName>
    <definedName name="BonusPoolScenario1" localSheetId="5">#REF!</definedName>
    <definedName name="BonusPoolScenario2" localSheetId="5">#REF!</definedName>
    <definedName name="BonusPoolScenario3" localSheetId="5">#REF!</definedName>
    <definedName name="Frequency" localSheetId="5">#REF!</definedName>
    <definedName name="IncomeScenario1" localSheetId="5">#REF!</definedName>
    <definedName name="IncomeScenario1Asia" localSheetId="5">#REF!</definedName>
    <definedName name="IncomeScenario1Biopharma" localSheetId="5">#REF!</definedName>
    <definedName name="IncomeScenario1Europe" localSheetId="5">#REF!</definedName>
    <definedName name="IncomeScenario1Financing" localSheetId="5">#REF!</definedName>
    <definedName name="IncomeScenario1Medtech" localSheetId="5">#REF!</definedName>
    <definedName name="IncomeScenario1SandA" localSheetId="5">#REF!</definedName>
    <definedName name="IncomeScenario2" localSheetId="5">#REF!</definedName>
    <definedName name="IncomeScenario2Asia" localSheetId="5">#REF!</definedName>
    <definedName name="IncomeScenario2Biopharma" localSheetId="5">#REF!</definedName>
    <definedName name="IncomeScenario2Europe" localSheetId="5">#REF!</definedName>
    <definedName name="IncomeScenario2Financing" localSheetId="5">#REF!</definedName>
    <definedName name="IncomeScenario2Medtech" localSheetId="5">#REF!</definedName>
    <definedName name="IncomeScenario2SandA" localSheetId="5">#REF!</definedName>
    <definedName name="IncomeScenario3" localSheetId="5">#REF!</definedName>
    <definedName name="IncomeScenario3Asia" localSheetId="5">#REF!</definedName>
    <definedName name="IncomeScenario3Biopharma" localSheetId="5">#REF!</definedName>
    <definedName name="IncomeScenario3Europe" localSheetId="5">#REF!</definedName>
    <definedName name="IncomeScenario3Financing" localSheetId="5">#REF!</definedName>
    <definedName name="IncomeScenario3Medtech" localSheetId="5">#REF!</definedName>
    <definedName name="IncomeScenario3SandA" localSheetId="5">#REF!</definedName>
    <definedName name="ProfitScenario1" localSheetId="5">#REF!</definedName>
    <definedName name="ProfitScenario2" localSheetId="5">#REF!</definedName>
    <definedName name="ProfitScenario3" localSheetId="5">#REF!</definedName>
  </definedNames>
  <calcPr calcId="191028" fullCalcOnLoad="1"/>
</workbook>
</file>

<file path=xl/styles.xml><?xml version="1.0" encoding="utf-8"?>
<styleSheet xmlns="http://schemas.openxmlformats.org/spreadsheetml/2006/main">
  <numFmts count="4">
    <numFmt numFmtId="164" formatCode="\€#,##0.00;\-\€#,##0.00"/>
    <numFmt numFmtId="165" formatCode="0.0%"/>
    <numFmt numFmtId="166" formatCode="#,##0.00\ _€"/>
    <numFmt numFmtId="167" formatCode="0.0"/>
  </numFmts>
  <fonts count="39">
    <font>
      <name val="Arial"/>
      <color theme="1"/>
      <sz val="11"/>
      <scheme val="minor"/>
    </font>
    <font>
      <name val="Arial"/>
      <color theme="1"/>
      <sz val="11"/>
    </font>
    <font>
      <name val="Arial"/>
      <b val="1"/>
      <color rgb="FF000000"/>
      <sz val="14"/>
    </font>
    <font>
      <name val="Arial"/>
      <color theme="1"/>
      <sz val="11"/>
    </font>
    <font>
      <name val="Arial"/>
      <b val="1"/>
      <color rgb="FFFFFFFF"/>
      <sz val="11"/>
    </font>
    <font>
      <name val="Arial"/>
      <b val="1"/>
      <color theme="0"/>
      <sz val="9"/>
    </font>
    <font>
      <name val="Arial"/>
      <b val="1"/>
      <color rgb="FF000000"/>
      <sz val="8"/>
    </font>
    <font>
      <name val="Arial"/>
      <color rgb="FF000000"/>
      <sz val="8"/>
    </font>
    <font>
      <name val="Arial"/>
      <b val="1"/>
      <i val="1"/>
      <color rgb="FF000000"/>
      <sz val="8"/>
    </font>
    <font>
      <name val="Arial"/>
      <color theme="0"/>
      <sz val="11"/>
    </font>
    <font>
      <name val="Arial"/>
      <i val="1"/>
      <color rgb="FF000000"/>
      <sz val="8"/>
    </font>
    <font>
      <name val="Arial"/>
      <b val="1"/>
      <color rgb="FF000000"/>
      <sz val="10"/>
    </font>
    <font>
      <name val="Arial"/>
      <color theme="0"/>
      <sz val="10"/>
    </font>
    <font>
      <name val="Arial"/>
      <b val="1"/>
      <color theme="0"/>
      <sz val="10"/>
    </font>
    <font>
      <name val="Arial"/>
      <color rgb="FF000000"/>
      <sz val="10"/>
    </font>
    <font>
      <name val="Arial"/>
      <color theme="1"/>
      <sz val="10"/>
    </font>
    <font>
      <name val="Arial"/>
      <i val="1"/>
      <color rgb="FF000000"/>
      <sz val="9"/>
    </font>
    <font>
      <name val="Arial"/>
      <b val="1"/>
      <i val="1"/>
      <color theme="1"/>
      <sz val="10"/>
    </font>
    <font>
      <name val="Arial"/>
      <b val="1"/>
      <i val="1"/>
      <color theme="1"/>
      <sz val="11"/>
    </font>
    <font>
      <name val="Arial"/>
      <i val="1"/>
      <color theme="1"/>
      <sz val="11"/>
    </font>
    <font>
      <name val="Arial"/>
      <b val="1"/>
      <color theme="0"/>
      <sz val="11"/>
    </font>
    <font>
      <name val="Arial"/>
      <color theme="1"/>
      <sz val="11"/>
      <scheme val="minor"/>
    </font>
    <font>
      <name val="Arial"/>
      <b val="1"/>
      <color theme="1"/>
      <sz val="11"/>
    </font>
    <font>
      <name val="Arial"/>
      <color rgb="FF1F1F1F"/>
      <sz val="11"/>
    </font>
    <font>
      <name val="Aptos Narrow"/>
      <color rgb="FF000000"/>
      <sz val="10"/>
    </font>
    <font>
      <name val="Aptos Narrow"/>
      <b val="1"/>
      <color rgb="FF000000"/>
      <sz val="10"/>
    </font>
    <font>
      <name val="Aptos Narrow"/>
      <i val="1"/>
      <color rgb="FF000000"/>
      <sz val="10"/>
    </font>
    <font>
      <name val="Aptos Narrow"/>
      <b val="1"/>
      <i val="1"/>
      <color theme="0"/>
      <sz val="10"/>
    </font>
    <font>
      <name val="Aptos Narrow"/>
      <i val="1"/>
      <color theme="0"/>
      <sz val="10"/>
    </font>
    <font>
      <name val="Arial"/>
      <b val="1"/>
      <i val="1"/>
      <color theme="0"/>
      <sz val="10"/>
    </font>
    <font>
      <name val="Arial"/>
      <color theme="0"/>
      <sz val="9"/>
    </font>
    <font>
      <name val="Arial"/>
      <color rgb="FFFFFFFF"/>
      <sz val="9"/>
    </font>
    <font>
      <name val="Aptos Narrow"/>
      <color theme="1"/>
      <sz val="10"/>
    </font>
    <font>
      <name val="Arial"/>
      <color theme="1"/>
      <sz val="9"/>
    </font>
    <font>
      <b val="1"/>
      <sz val="14"/>
    </font>
    <font>
      <b val="1"/>
      <color rgb="00FFFFFF"/>
    </font>
    <font>
      <b val="1"/>
    </font>
    <font>
      <i val="1"/>
    </font>
    <font>
      <b val="1"/>
      <sz val="12"/>
    </font>
  </fonts>
  <fills count="14">
    <fill>
      <patternFill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74F6A"/>
        <bgColor rgb="FF074F6A"/>
      </patternFill>
    </fill>
    <fill>
      <patternFill patternType="solid">
        <fgColor rgb="FFEFEFEF"/>
        <bgColor rgb="FFEFEFEF"/>
      </patternFill>
    </fill>
    <fill>
      <patternFill patternType="solid">
        <fgColor rgb="FF073763"/>
        <bgColor rgb="FF073763"/>
      </patternFill>
    </fill>
    <fill>
      <patternFill patternType="solid">
        <fgColor rgb="FFCAEDFB"/>
        <bgColor rgb="FFCAEDFB"/>
      </patternFill>
    </fill>
    <fill>
      <patternFill patternType="solid">
        <fgColor rgb="FFCFE2F3"/>
        <bgColor rgb="FFCFE2F3"/>
      </patternFill>
    </fill>
    <fill>
      <patternFill patternType="solid">
        <fgColor rgb="FF1F3864"/>
        <bgColor rgb="FF1F3864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215E99"/>
        <bgColor rgb="FF215E99"/>
      </patternFill>
    </fill>
    <fill>
      <patternFill patternType="solid">
        <fgColor rgb="001F4E79"/>
      </patternFill>
    </fill>
    <fill>
      <patternFill patternType="solid">
        <fgColor rgb="00D9E1F2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73763"/>
      </left>
      <right style="thin">
        <color rgb="FF073763"/>
      </right>
      <top/>
      <bottom style="thin">
        <color rgb="FF073763"/>
      </bottom>
      <diagonal/>
    </border>
    <border>
      <left style="thin">
        <color rgb="FF073763"/>
      </left>
      <right style="thin">
        <color rgb="FF073763"/>
      </right>
      <top style="thin">
        <color rgb="FF073763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  <border>
      <left/>
      <right/>
      <top style="thin">
        <color rgb="00BFBFBF"/>
      </top>
      <bottom/>
      <diagonal/>
    </border>
    <border>
      <left/>
      <right style="thin">
        <color rgb="00BFBFBF"/>
      </right>
      <top style="thin">
        <color rgb="00BFBFBF"/>
      </top>
      <bottom/>
      <diagonal/>
    </border>
    <border>
      <left/>
      <right/>
      <top style="thin">
        <color rgb="00BFBFBF"/>
      </top>
      <bottom style="thin">
        <color rgb="00BFBFBF"/>
      </bottom>
      <diagonal/>
    </border>
    <border>
      <left/>
      <right style="thin">
        <color rgb="00BFBFBF"/>
      </right>
      <top style="thin">
        <color rgb="00BFBFBF"/>
      </top>
      <bottom style="thin">
        <color rgb="00BFBFBF"/>
      </bottom>
      <diagonal/>
    </border>
    <border>
      <left style="thin"/>
      <right style="thin"/>
      <top style="thin"/>
      <bottom style="thin"/>
    </border>
  </borders>
  <cellStyleXfs count="1">
    <xf numFmtId="0" fontId="21" fillId="0" borderId="1"/>
  </cellStyleXfs>
  <cellXfs count="193">
    <xf numFmtId="0" fontId="0" fillId="0" borderId="0" pivotButton="0" quotePrefix="0" xfId="0"/>
    <xf numFmtId="0" fontId="5" fillId="3" borderId="2" applyAlignment="1" pivotButton="0" quotePrefix="0" xfId="0">
      <alignment horizontal="center" wrapText="1"/>
    </xf>
    <xf numFmtId="0" fontId="6" fillId="2" borderId="1" applyAlignment="1" pivotButton="0" quotePrefix="0" xfId="0">
      <alignment horizontal="left" wrapText="1"/>
    </xf>
    <xf numFmtId="0" fontId="9" fillId="3" borderId="1" applyAlignment="1" pivotButton="0" quotePrefix="0" xfId="0">
      <alignment wrapText="1"/>
    </xf>
    <xf numFmtId="0" fontId="5" fillId="3" borderId="1" applyAlignment="1" pivotButton="0" quotePrefix="0" xfId="0">
      <alignment horizontal="center" wrapText="1"/>
    </xf>
    <xf numFmtId="0" fontId="3" fillId="0" borderId="0" pivotButton="0" quotePrefix="0" xfId="0"/>
    <xf numFmtId="0" fontId="12" fillId="3" borderId="1" applyAlignment="1" pivotButton="0" quotePrefix="0" xfId="0">
      <alignment wrapText="1"/>
    </xf>
    <xf numFmtId="0" fontId="13" fillId="3" borderId="2" applyAlignment="1" pivotButton="0" quotePrefix="0" xfId="0">
      <alignment horizontal="center" wrapText="1"/>
    </xf>
    <xf numFmtId="0" fontId="11" fillId="2" borderId="1" applyAlignment="1" pivotButton="0" quotePrefix="0" xfId="0">
      <alignment horizontal="left" wrapText="1"/>
    </xf>
    <xf numFmtId="0" fontId="14" fillId="2" borderId="1" applyAlignment="1" pivotButton="0" quotePrefix="0" xfId="0">
      <alignment horizontal="left" wrapText="1"/>
    </xf>
    <xf numFmtId="0" fontId="16" fillId="2" borderId="1" applyAlignment="1" pivotButton="0" quotePrefix="0" xfId="0">
      <alignment horizontal="left" wrapText="1"/>
    </xf>
    <xf numFmtId="10" fontId="16" fillId="2" borderId="1" applyAlignment="1" pivotButton="0" quotePrefix="0" xfId="0">
      <alignment wrapText="1"/>
    </xf>
    <xf numFmtId="0" fontId="15" fillId="2" borderId="1" pivotButton="0" quotePrefix="0" xfId="0"/>
    <xf numFmtId="0" fontId="9" fillId="3" borderId="1" pivotButton="0" quotePrefix="0" xfId="0"/>
    <xf numFmtId="0" fontId="17" fillId="2" borderId="1" pivotButton="0" quotePrefix="0" xfId="0"/>
    <xf numFmtId="10" fontId="17" fillId="2" borderId="1" pivotButton="0" quotePrefix="0" xfId="0"/>
    <xf numFmtId="0" fontId="18" fillId="2" borderId="1" pivotButton="0" quotePrefix="0" xfId="0"/>
    <xf numFmtId="1" fontId="15" fillId="2" borderId="1" pivotButton="0" quotePrefix="0" xfId="0"/>
    <xf numFmtId="2" fontId="15" fillId="2" borderId="1" pivotButton="0" quotePrefix="0" xfId="0"/>
    <xf numFmtId="0" fontId="19" fillId="2" borderId="1" pivotButton="0" quotePrefix="0" xfId="0"/>
    <xf numFmtId="0" fontId="4" fillId="5" borderId="9" pivotButton="0" quotePrefix="0" xfId="0"/>
    <xf numFmtId="0" fontId="20" fillId="5" borderId="10" pivotButton="0" quotePrefix="0" xfId="0"/>
    <xf numFmtId="9" fontId="6" fillId="6" borderId="1" applyAlignment="1" pivotButton="0" quotePrefix="0" xfId="0">
      <alignment horizontal="left" wrapText="1"/>
    </xf>
    <xf numFmtId="0" fontId="6" fillId="2" borderId="4" applyAlignment="1" pivotButton="0" quotePrefix="0" xfId="0">
      <alignment horizontal="left" wrapText="1"/>
    </xf>
    <xf numFmtId="0" fontId="22" fillId="2" borderId="1" pivotButton="0" quotePrefix="0" xfId="0"/>
    <xf numFmtId="0" fontId="20" fillId="3" borderId="1" pivotButton="0" quotePrefix="0" xfId="0"/>
    <xf numFmtId="0" fontId="4" fillId="3" borderId="1" pivotButton="0" quotePrefix="0" xfId="0"/>
    <xf numFmtId="0" fontId="22" fillId="2" borderId="13" pivotButton="0" quotePrefix="0" xfId="0"/>
    <xf numFmtId="0" fontId="22" fillId="2" borderId="9" pivotButton="0" quotePrefix="0" xfId="0"/>
    <xf numFmtId="0" fontId="22" fillId="2" borderId="3" pivotButton="0" quotePrefix="0" xfId="0"/>
    <xf numFmtId="0" fontId="22" fillId="2" borderId="10" pivotButton="0" quotePrefix="0" xfId="0"/>
    <xf numFmtId="0" fontId="22" fillId="2" borderId="11" pivotButton="0" quotePrefix="0" xfId="0"/>
    <xf numFmtId="0" fontId="22" fillId="2" borderId="17" pivotButton="0" quotePrefix="0" xfId="0"/>
    <xf numFmtId="1" fontId="20" fillId="5" borderId="3" pivotButton="0" quotePrefix="0" xfId="0"/>
    <xf numFmtId="1" fontId="20" fillId="5" borderId="10" pivotButton="0" quotePrefix="0" xfId="0"/>
    <xf numFmtId="0" fontId="22" fillId="7" borderId="3" pivotButton="0" quotePrefix="0" xfId="0"/>
    <xf numFmtId="0" fontId="22" fillId="7" borderId="10" pivotButton="0" quotePrefix="0" xfId="0"/>
    <xf numFmtId="0" fontId="19" fillId="2" borderId="11" pivotButton="0" quotePrefix="0" xfId="0"/>
    <xf numFmtId="0" fontId="4" fillId="8" borderId="9" pivotButton="0" quotePrefix="0" xfId="0"/>
    <xf numFmtId="0" fontId="20" fillId="5" borderId="9" pivotButton="0" quotePrefix="0" xfId="0"/>
    <xf numFmtId="0" fontId="23" fillId="9" borderId="13" pivotButton="0" quotePrefix="0" xfId="0"/>
    <xf numFmtId="0" fontId="24" fillId="2" borderId="18" pivotButton="0" quotePrefix="0" xfId="0"/>
    <xf numFmtId="0" fontId="24" fillId="2" borderId="19" applyAlignment="1" pivotButton="0" quotePrefix="0" xfId="0">
      <alignment horizontal="center"/>
    </xf>
    <xf numFmtId="0" fontId="24" fillId="2" borderId="19" pivotButton="0" quotePrefix="0" xfId="0"/>
    <xf numFmtId="0" fontId="24" fillId="2" borderId="20" pivotButton="0" quotePrefix="0" xfId="0"/>
    <xf numFmtId="0" fontId="24" fillId="2" borderId="21" pivotButton="0" quotePrefix="0" xfId="0"/>
    <xf numFmtId="0" fontId="25" fillId="2" borderId="22" pivotButton="0" quotePrefix="0" xfId="0"/>
    <xf numFmtId="0" fontId="25" fillId="2" borderId="20" pivotButton="0" quotePrefix="0" xfId="0"/>
    <xf numFmtId="0" fontId="25" fillId="2" borderId="23" pivotButton="0" quotePrefix="0" xfId="0"/>
    <xf numFmtId="0" fontId="24" fillId="2" borderId="24" pivotButton="0" quotePrefix="0" xfId="0"/>
    <xf numFmtId="9" fontId="14" fillId="2" borderId="4" applyAlignment="1" pivotButton="0" quotePrefix="0" xfId="0">
      <alignment horizontal="center"/>
    </xf>
    <xf numFmtId="0" fontId="24" fillId="2" borderId="4" applyAlignment="1" pivotButton="0" quotePrefix="0" xfId="0">
      <alignment horizontal="center"/>
    </xf>
    <xf numFmtId="0" fontId="24" fillId="2" borderId="25" pivotButton="0" quotePrefix="0" xfId="0"/>
    <xf numFmtId="0" fontId="24" fillId="2" borderId="21" applyAlignment="1" pivotButton="0" quotePrefix="0" xfId="0">
      <alignment horizontal="center"/>
    </xf>
    <xf numFmtId="0" fontId="24" fillId="2" borderId="26" pivotButton="0" quotePrefix="0" xfId="0"/>
    <xf numFmtId="0" fontId="24" fillId="2" borderId="22" pivotButton="0" quotePrefix="0" xfId="0"/>
    <xf numFmtId="10" fontId="26" fillId="7" borderId="26" pivotButton="0" quotePrefix="0" xfId="0"/>
    <xf numFmtId="10" fontId="26" fillId="7" borderId="27" pivotButton="0" quotePrefix="0" xfId="0"/>
    <xf numFmtId="0" fontId="24" fillId="2" borderId="28" pivotButton="0" quotePrefix="0" xfId="0"/>
    <xf numFmtId="0" fontId="24" fillId="2" borderId="29" applyAlignment="1" pivotButton="0" quotePrefix="0" xfId="0">
      <alignment horizontal="center"/>
    </xf>
    <xf numFmtId="0" fontId="24" fillId="2" borderId="29" pivotButton="0" quotePrefix="0" xfId="0"/>
    <xf numFmtId="0" fontId="24" fillId="2" borderId="30" pivotButton="0" quotePrefix="0" xfId="0"/>
    <xf numFmtId="0" fontId="24" fillId="2" borderId="31" pivotButton="0" quotePrefix="0" xfId="0"/>
    <xf numFmtId="0" fontId="24" fillId="2" borderId="32" pivotButton="0" quotePrefix="0" xfId="0"/>
    <xf numFmtId="0" fontId="24" fillId="2" borderId="8" pivotButton="0" quotePrefix="0" xfId="0"/>
    <xf numFmtId="0" fontId="24" fillId="2" borderId="8" applyAlignment="1" pivotButton="0" quotePrefix="0" xfId="0">
      <alignment horizontal="center"/>
    </xf>
    <xf numFmtId="0" fontId="24" fillId="2" borderId="4" pivotButton="0" quotePrefix="0" xfId="0"/>
    <xf numFmtId="0" fontId="27" fillId="2" borderId="4" pivotButton="0" quotePrefix="0" xfId="0"/>
    <xf numFmtId="0" fontId="27" fillId="2" borderId="4" applyAlignment="1" pivotButton="0" quotePrefix="0" xfId="0">
      <alignment horizontal="center"/>
    </xf>
    <xf numFmtId="0" fontId="28" fillId="2" borderId="4" pivotButton="0" quotePrefix="0" xfId="0"/>
    <xf numFmtId="9" fontId="29" fillId="2" borderId="4" applyAlignment="1" pivotButton="0" quotePrefix="0" xfId="0">
      <alignment horizontal="center"/>
    </xf>
    <xf numFmtId="0" fontId="27" fillId="5" borderId="33" pivotButton="0" quotePrefix="0" xfId="0"/>
    <xf numFmtId="0" fontId="27" fillId="5" borderId="33" applyAlignment="1" pivotButton="0" quotePrefix="0" xfId="0">
      <alignment horizontal="center"/>
    </xf>
    <xf numFmtId="0" fontId="28" fillId="5" borderId="33" pivotButton="0" quotePrefix="0" xfId="0"/>
    <xf numFmtId="9" fontId="29" fillId="5" borderId="33" applyAlignment="1" pivotButton="0" quotePrefix="0" xfId="0">
      <alignment horizontal="center"/>
    </xf>
    <xf numFmtId="0" fontId="30" fillId="5" borderId="34" applyAlignment="1" pivotButton="0" quotePrefix="0" xfId="0">
      <alignment horizontal="center" vertical="center" wrapText="1"/>
    </xf>
    <xf numFmtId="0" fontId="31" fillId="5" borderId="34" applyAlignment="1" pivotButton="0" quotePrefix="0" xfId="0">
      <alignment horizontal="center" vertical="center" wrapText="1"/>
    </xf>
    <xf numFmtId="0" fontId="14" fillId="2" borderId="4" pivotButton="0" quotePrefix="0" xfId="0"/>
    <xf numFmtId="0" fontId="14" fillId="2" borderId="4" applyAlignment="1" pivotButton="0" quotePrefix="0" xfId="0">
      <alignment horizontal="left"/>
    </xf>
    <xf numFmtId="0" fontId="15" fillId="2" borderId="4" pivotButton="0" quotePrefix="0" xfId="0"/>
    <xf numFmtId="0" fontId="32" fillId="2" borderId="4" pivotButton="0" quotePrefix="0" xfId="0"/>
    <xf numFmtId="14" fontId="15" fillId="10" borderId="1" pivotButton="0" quotePrefix="0" xfId="0"/>
    <xf numFmtId="0" fontId="27" fillId="11" borderId="1" applyAlignment="1" pivotButton="0" quotePrefix="0" xfId="0">
      <alignment horizontal="center"/>
    </xf>
    <xf numFmtId="0" fontId="33" fillId="0" borderId="35" applyAlignment="1" pivotButton="0" quotePrefix="0" xfId="0">
      <alignment horizontal="center"/>
    </xf>
    <xf numFmtId="0" fontId="33" fillId="0" borderId="36" applyAlignment="1" pivotButton="0" quotePrefix="0" xfId="0">
      <alignment horizontal="center"/>
    </xf>
    <xf numFmtId="0" fontId="33" fillId="0" borderId="37" applyAlignment="1" pivotButton="0" quotePrefix="0" xfId="0">
      <alignment horizontal="center"/>
    </xf>
    <xf numFmtId="0" fontId="1" fillId="2" borderId="1" pivotButton="0" quotePrefix="0" xfId="0"/>
    <xf numFmtId="0" fontId="0" fillId="0" borderId="0" pivotButton="0" quotePrefix="0" xfId="0"/>
    <xf numFmtId="2" fontId="1" fillId="2" borderId="1" applyAlignment="1" pivotButton="0" quotePrefix="0" xfId="0">
      <alignment horizontal="right"/>
    </xf>
    <xf numFmtId="0" fontId="1" fillId="2" borderId="11" pivotButton="0" quotePrefix="0" xfId="0"/>
    <xf numFmtId="0" fontId="1" fillId="2" borderId="13" pivotButton="0" quotePrefix="0" xfId="0"/>
    <xf numFmtId="1" fontId="1" fillId="7" borderId="1" pivotButton="0" quotePrefix="0" xfId="0"/>
    <xf numFmtId="1" fontId="1" fillId="7" borderId="12" pivotButton="0" quotePrefix="0" xfId="0"/>
    <xf numFmtId="0" fontId="1" fillId="2" borderId="17" pivotButton="0" quotePrefix="0" xfId="0"/>
    <xf numFmtId="9" fontId="1" fillId="2" borderId="1" pivotButton="0" quotePrefix="0" xfId="0"/>
    <xf numFmtId="1" fontId="1" fillId="2" borderId="1" pivotButton="0" quotePrefix="0" xfId="0"/>
    <xf numFmtId="1" fontId="1" fillId="2" borderId="12" pivotButton="0" quotePrefix="0" xfId="0"/>
    <xf numFmtId="9" fontId="1" fillId="2" borderId="12" pivotButton="0" quotePrefix="0" xfId="0"/>
    <xf numFmtId="10" fontId="1" fillId="2" borderId="1" pivotButton="0" quotePrefix="0" xfId="0"/>
    <xf numFmtId="9" fontId="1" fillId="2" borderId="2" pivotButton="0" quotePrefix="0" xfId="0"/>
    <xf numFmtId="9" fontId="1" fillId="2" borderId="16" pivotButton="0" quotePrefix="0" xfId="0"/>
    <xf numFmtId="164" fontId="7" fillId="2" borderId="1" applyAlignment="1" pivotButton="0" quotePrefix="0" xfId="0">
      <alignment wrapText="1"/>
    </xf>
    <xf numFmtId="164" fontId="6" fillId="2" borderId="3" applyAlignment="1" pivotButton="0" quotePrefix="0" xfId="0">
      <alignment horizontal="right" wrapText="1"/>
    </xf>
    <xf numFmtId="165" fontId="8" fillId="2" borderId="1" applyAlignment="1" pivotButton="0" quotePrefix="0" xfId="0">
      <alignment wrapText="1"/>
    </xf>
    <xf numFmtId="164" fontId="7" fillId="2" borderId="4" applyAlignment="1" pivotButton="0" quotePrefix="0" xfId="0">
      <alignment horizontal="right" wrapText="1"/>
    </xf>
    <xf numFmtId="164" fontId="7" fillId="2" borderId="4" applyAlignment="1" pivotButton="0" quotePrefix="0" xfId="0">
      <alignment wrapText="1"/>
    </xf>
    <xf numFmtId="164" fontId="7" fillId="2" borderId="5" applyAlignment="1" pivotButton="0" quotePrefix="0" xfId="0">
      <alignment wrapText="1"/>
    </xf>
    <xf numFmtId="164" fontId="6" fillId="4" borderId="7" applyAlignment="1" pivotButton="0" quotePrefix="0" xfId="0">
      <alignment horizontal="right" wrapText="1"/>
    </xf>
    <xf numFmtId="164" fontId="10" fillId="2" borderId="8" applyAlignment="1" pivotButton="0" quotePrefix="0" xfId="0">
      <alignment horizontal="right" wrapText="1"/>
    </xf>
    <xf numFmtId="166" fontId="14" fillId="2" borderId="1" applyAlignment="1" pivotButton="0" quotePrefix="0" xfId="0">
      <alignment wrapText="1"/>
    </xf>
    <xf numFmtId="164" fontId="14" fillId="2" borderId="1" applyAlignment="1" pivotButton="0" quotePrefix="0" xfId="0">
      <alignment wrapText="1"/>
    </xf>
    <xf numFmtId="164" fontId="11" fillId="2" borderId="6" applyAlignment="1" pivotButton="0" quotePrefix="0" xfId="0">
      <alignment wrapText="1"/>
    </xf>
    <xf numFmtId="164" fontId="15" fillId="2" borderId="1" pivotButton="0" quotePrefix="0" xfId="0"/>
    <xf numFmtId="164" fontId="11" fillId="2" borderId="3" applyAlignment="1" pivotButton="0" quotePrefix="0" xfId="0">
      <alignment wrapText="1"/>
    </xf>
    <xf numFmtId="164" fontId="11" fillId="2" borderId="6" applyAlignment="1" pivotButton="0" quotePrefix="0" xfId="0">
      <alignment horizontal="right" wrapText="1"/>
    </xf>
    <xf numFmtId="164" fontId="14" fillId="2" borderId="1" applyAlignment="1" pivotButton="0" quotePrefix="0" xfId="0">
      <alignment horizontal="right" wrapText="1"/>
    </xf>
    <xf numFmtId="164" fontId="11" fillId="2" borderId="3" applyAlignment="1" pivotButton="0" quotePrefix="0" xfId="0">
      <alignment horizontal="right" wrapText="1"/>
    </xf>
    <xf numFmtId="165" fontId="15" fillId="2" borderId="1" pivotButton="0" quotePrefix="0" xfId="0"/>
    <xf numFmtId="164" fontId="1" fillId="2" borderId="12" pivotButton="0" quotePrefix="0" xfId="0"/>
    <xf numFmtId="164" fontId="1" fillId="2" borderId="14" pivotButton="0" quotePrefix="0" xfId="0"/>
    <xf numFmtId="166" fontId="7" fillId="2" borderId="1" applyAlignment="1" pivotButton="0" quotePrefix="0" xfId="0">
      <alignment wrapText="1"/>
    </xf>
    <xf numFmtId="164" fontId="7" fillId="2" borderId="6" applyAlignment="1" pivotButton="0" quotePrefix="0" xfId="0">
      <alignment wrapText="1"/>
    </xf>
    <xf numFmtId="164" fontId="7" fillId="2" borderId="15" applyAlignment="1" pivotButton="0" quotePrefix="0" xfId="0">
      <alignment wrapText="1"/>
    </xf>
    <xf numFmtId="165" fontId="8" fillId="2" borderId="1" applyAlignment="1" pivotButton="0" quotePrefix="0" xfId="0">
      <alignment horizontal="left" wrapText="1"/>
    </xf>
    <xf numFmtId="10" fontId="8" fillId="2" borderId="1" applyAlignment="1" pivotButton="0" quotePrefix="0" xfId="0">
      <alignment wrapText="1"/>
    </xf>
    <xf numFmtId="164" fontId="7" fillId="2" borderId="1" applyAlignment="1" pivotButton="0" quotePrefix="0" xfId="0">
      <alignment horizontal="right" wrapText="1"/>
    </xf>
    <xf numFmtId="164" fontId="6" fillId="6" borderId="1" applyAlignment="1" pivotButton="0" quotePrefix="0" xfId="0">
      <alignment horizontal="left" wrapText="1"/>
    </xf>
    <xf numFmtId="164" fontId="6" fillId="2" borderId="1" applyAlignment="1" pivotButton="0" quotePrefix="0" xfId="0">
      <alignment horizontal="left" wrapText="1"/>
    </xf>
    <xf numFmtId="164" fontId="1" fillId="7" borderId="6" pivotButton="0" quotePrefix="0" xfId="0"/>
    <xf numFmtId="164" fontId="1" fillId="7" borderId="14" pivotButton="0" quotePrefix="0" xfId="0"/>
    <xf numFmtId="164" fontId="1" fillId="7" borderId="1" pivotButton="0" quotePrefix="0" xfId="0"/>
    <xf numFmtId="164" fontId="1" fillId="7" borderId="12" pivotButton="0" quotePrefix="0" xfId="0"/>
    <xf numFmtId="164" fontId="1" fillId="7" borderId="2" pivotButton="0" quotePrefix="0" xfId="0"/>
    <xf numFmtId="164" fontId="1" fillId="7" borderId="16" pivotButton="0" quotePrefix="0" xfId="0"/>
    <xf numFmtId="164" fontId="22" fillId="7" borderId="2" pivotButton="0" quotePrefix="0" xfId="0"/>
    <xf numFmtId="164" fontId="22" fillId="7" borderId="16" pivotButton="0" quotePrefix="0" xfId="0"/>
    <xf numFmtId="164" fontId="22" fillId="2" borderId="1" pivotButton="0" quotePrefix="0" xfId="0"/>
    <xf numFmtId="164" fontId="22" fillId="2" borderId="12" pivotButton="0" quotePrefix="0" xfId="0"/>
    <xf numFmtId="164" fontId="1" fillId="2" borderId="1" pivotButton="0" quotePrefix="0" xfId="0"/>
    <xf numFmtId="164" fontId="1" fillId="2" borderId="2" pivotButton="0" quotePrefix="0" xfId="0"/>
    <xf numFmtId="164" fontId="1" fillId="2" borderId="16" pivotButton="0" quotePrefix="0" xfId="0"/>
    <xf numFmtId="164" fontId="19" fillId="7" borderId="1" pivotButton="0" quotePrefix="0" xfId="0"/>
    <xf numFmtId="164" fontId="19" fillId="7" borderId="12" pivotButton="0" quotePrefix="0" xfId="0"/>
    <xf numFmtId="164" fontId="20" fillId="8" borderId="3" pivotButton="0" quotePrefix="0" xfId="0"/>
    <xf numFmtId="165" fontId="1" fillId="2" borderId="6" pivotButton="0" quotePrefix="0" xfId="0"/>
    <xf numFmtId="165" fontId="1" fillId="2" borderId="14" pivotButton="0" quotePrefix="0" xfId="0"/>
    <xf numFmtId="164" fontId="14" fillId="2" borderId="4" applyAlignment="1" pivotButton="0" quotePrefix="0" xfId="0">
      <alignment horizontal="center"/>
    </xf>
    <xf numFmtId="164" fontId="29" fillId="2" borderId="4" applyAlignment="1" pivotButton="0" quotePrefix="0" xfId="0">
      <alignment horizontal="center"/>
    </xf>
    <xf numFmtId="164" fontId="29" fillId="5" borderId="33" applyAlignment="1" pivotButton="0" quotePrefix="0" xfId="0">
      <alignment horizontal="center"/>
    </xf>
    <xf numFmtId="164" fontId="15" fillId="2" borderId="4" pivotButton="0" quotePrefix="0" xfId="0"/>
    <xf numFmtId="164" fontId="15" fillId="2" borderId="4" applyAlignment="1" pivotButton="0" quotePrefix="0" xfId="0">
      <alignment horizontal="center"/>
    </xf>
    <xf numFmtId="0" fontId="0" fillId="0" borderId="1" pivotButton="0" quotePrefix="0" xfId="0"/>
    <xf numFmtId="0" fontId="1" fillId="0" borderId="1" pivotButton="0" quotePrefix="0" xfId="0"/>
    <xf numFmtId="0" fontId="21" fillId="0" borderId="1" pivotButton="0" quotePrefix="0" xfId="0"/>
    <xf numFmtId="10" fontId="0" fillId="0" borderId="1" pivotButton="0" quotePrefix="0" xfId="0"/>
    <xf numFmtId="0" fontId="33" fillId="0" borderId="1" pivotButton="0" quotePrefix="0" xfId="0"/>
    <xf numFmtId="0" fontId="33" fillId="0" borderId="1" applyAlignment="1" pivotButton="0" quotePrefix="0" xfId="0">
      <alignment horizontal="center"/>
    </xf>
    <xf numFmtId="0" fontId="2" fillId="2" borderId="1" applyAlignment="1" pivotButton="0" quotePrefix="0" xfId="0">
      <alignment horizontal="center"/>
    </xf>
    <xf numFmtId="0" fontId="0" fillId="0" borderId="1" pivotButton="0" quotePrefix="0" xfId="0"/>
    <xf numFmtId="0" fontId="11" fillId="2" borderId="1" applyAlignment="1" pivotButton="0" quotePrefix="0" xfId="0">
      <alignment horizontal="center"/>
    </xf>
    <xf numFmtId="0" fontId="7" fillId="2" borderId="1" applyAlignment="1" pivotButton="0" quotePrefix="0" xfId="0">
      <alignment horizontal="center"/>
    </xf>
    <xf numFmtId="0" fontId="0" fillId="0" borderId="1" pivotButton="0" quotePrefix="0" xfId="0"/>
    <xf numFmtId="0" fontId="34" fillId="0" borderId="0" pivotButton="0" quotePrefix="0" xfId="0"/>
    <xf numFmtId="0" fontId="35" fillId="12" borderId="38" applyAlignment="1" pivotButton="0" quotePrefix="0" xfId="0">
      <alignment horizontal="center" vertical="center" wrapText="1"/>
    </xf>
    <xf numFmtId="0" fontId="36" fillId="0" borderId="38" applyAlignment="1" pivotButton="0" quotePrefix="0" xfId="0">
      <alignment horizontal="left" vertical="center" wrapText="1"/>
    </xf>
    <xf numFmtId="3" fontId="0" fillId="0" borderId="38" applyAlignment="1" pivotButton="0" quotePrefix="0" xfId="0">
      <alignment horizontal="right" vertical="center" wrapText="1"/>
    </xf>
    <xf numFmtId="0" fontId="38" fillId="13" borderId="0" pivotButton="0" quotePrefix="0" xfId="0"/>
    <xf numFmtId="0" fontId="0" fillId="0" borderId="38" applyAlignment="1" pivotButton="0" quotePrefix="0" xfId="0">
      <alignment horizontal="center" vertical="center" wrapText="1"/>
    </xf>
    <xf numFmtId="10" fontId="0" fillId="0" borderId="38" applyAlignment="1" pivotButton="0" quotePrefix="0" xfId="0">
      <alignment horizontal="right" vertical="center" wrapText="1"/>
    </xf>
    <xf numFmtId="0" fontId="36" fillId="13" borderId="38" applyAlignment="1" pivotButton="0" quotePrefix="0" xfId="0">
      <alignment horizontal="left" vertical="center" wrapText="1"/>
    </xf>
    <xf numFmtId="3" fontId="36" fillId="0" borderId="38" applyAlignment="1" pivotButton="0" quotePrefix="0" xfId="0">
      <alignment horizontal="right" vertical="center" wrapText="1"/>
    </xf>
    <xf numFmtId="0" fontId="37" fillId="0" borderId="0" applyAlignment="1" pivotButton="0" quotePrefix="0" xfId="0">
      <alignment horizontal="left" vertical="center" wrapText="1"/>
    </xf>
    <xf numFmtId="1" fontId="0" fillId="0" borderId="38" applyAlignment="1" pivotButton="0" quotePrefix="0" xfId="0">
      <alignment horizontal="right" vertical="center" wrapText="1"/>
    </xf>
    <xf numFmtId="0" fontId="0" fillId="0" borderId="38" applyAlignment="1" pivotButton="0" quotePrefix="0" xfId="0">
      <alignment horizontal="left" vertical="center" wrapText="1"/>
    </xf>
    <xf numFmtId="167" fontId="0" fillId="0" borderId="38" applyAlignment="1" pivotButton="0" quotePrefix="0" xfId="0">
      <alignment horizontal="right" vertical="center" wrapText="1"/>
    </xf>
    <xf numFmtId="167" fontId="36" fillId="13" borderId="38" applyAlignment="1" pivotButton="0" quotePrefix="0" xfId="0">
      <alignment horizontal="right" vertical="center" wrapText="1"/>
    </xf>
    <xf numFmtId="1" fontId="0" fillId="0" borderId="41" pivotButton="0" quotePrefix="0" xfId="0"/>
    <xf numFmtId="0" fontId="0" fillId="0" borderId="41" pivotButton="0" quotePrefix="0" xfId="0"/>
    <xf numFmtId="0" fontId="0" fillId="0" borderId="42" pivotButton="0" quotePrefix="0" xfId="0"/>
    <xf numFmtId="0" fontId="0" fillId="0" borderId="38" applyAlignment="1" pivotButton="0" quotePrefix="0" xfId="0">
      <alignment horizontal="right" vertical="center" wrapText="1"/>
    </xf>
    <xf numFmtId="0" fontId="35" fillId="12" borderId="38" applyAlignment="1" pivotButton="0" quotePrefix="0" xfId="0">
      <alignment horizontal="center" vertical="center"/>
    </xf>
    <xf numFmtId="3" fontId="0" fillId="0" borderId="38" applyAlignment="1" pivotButton="0" quotePrefix="0" xfId="0">
      <alignment horizontal="left" vertical="center"/>
    </xf>
    <xf numFmtId="3" fontId="0" fillId="0" borderId="38" applyAlignment="1" pivotButton="0" quotePrefix="0" xfId="0">
      <alignment horizontal="right" vertical="center"/>
    </xf>
    <xf numFmtId="10" fontId="0" fillId="0" borderId="38" applyAlignment="1" pivotButton="0" quotePrefix="0" xfId="0">
      <alignment horizontal="left" vertical="center"/>
    </xf>
    <xf numFmtId="10" fontId="0" fillId="0" borderId="38" applyAlignment="1" pivotButton="0" quotePrefix="0" xfId="0">
      <alignment horizontal="right" vertical="center"/>
    </xf>
    <xf numFmtId="0" fontId="36" fillId="0" borderId="0" pivotButton="0" quotePrefix="0" xfId="0"/>
    <xf numFmtId="0" fontId="36" fillId="0" borderId="0" applyAlignment="1" pivotButton="0" quotePrefix="0" xfId="0">
      <alignment horizontal="left" vertical="center"/>
    </xf>
    <xf numFmtId="0" fontId="0" fillId="0" borderId="43" applyAlignment="1" pivotButton="0" quotePrefix="0" xfId="0">
      <alignment horizontal="right" vertical="center"/>
    </xf>
    <xf numFmtId="0" fontId="35" fillId="12" borderId="43" applyAlignment="1" pivotButton="0" quotePrefix="0" xfId="0">
      <alignment horizontal="center" vertical="center"/>
    </xf>
    <xf numFmtId="0" fontId="0" fillId="0" borderId="43" applyAlignment="1" pivotButton="0" quotePrefix="0" xfId="0">
      <alignment horizontal="left" vertical="center"/>
    </xf>
    <xf numFmtId="9" fontId="0" fillId="0" borderId="43" applyAlignment="1" pivotButton="0" quotePrefix="0" xfId="0">
      <alignment horizontal="right" vertical="center"/>
    </xf>
    <xf numFmtId="3" fontId="0" fillId="0" borderId="43" applyAlignment="1" pivotButton="0" quotePrefix="0" xfId="0">
      <alignment horizontal="right" vertical="center"/>
    </xf>
    <xf numFmtId="9" fontId="0" fillId="0" borderId="38" applyAlignment="1" pivotButton="0" quotePrefix="0" xfId="0">
      <alignment horizontal="right" vertical="center" wrapText="1"/>
    </xf>
  </cellXfs>
  <cellStyles count="1">
    <cellStyle name="Normalny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ARR</a:t>
            </a:r>
          </a:p>
        </rich>
      </tx>
    </title>
    <plotArea>
      <lineChart>
        <grouping val="standard"/>
        <ser>
          <idx val="0"/>
          <order val="0"/>
          <tx>
            <v>ARR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'Best_Case_B2B_Revenue_Build'!$B$2:$AK$2</f>
            </numRef>
          </cat>
          <val>
            <numRef>
              <f>'Best_Case_B2B_Revenue_Build'!$B$9</f>
            </numRef>
          </val>
        </ser>
        <ser>
          <idx val="1"/>
          <order val="1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'Best_Case_B2B_Revenue_Build'!$B$2:$AK$2</f>
            </numRef>
          </cat>
          <val>
            <numRef>
              <f>'Best_Case_B2B_Revenue_Build'!$C$9</f>
            </numRef>
          </val>
        </ser>
        <ser>
          <idx val="2"/>
          <order val="2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'Best_Case_B2B_Revenue_Build'!$B$2:$AK$2</f>
            </numRef>
          </cat>
          <val>
            <numRef>
              <f>'Best_Case_B2B_Revenue_Build'!$D$9</f>
            </numRef>
          </val>
        </ser>
        <ser>
          <idx val="3"/>
          <order val="3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'Best_Case_B2B_Revenue_Build'!$B$2:$AK$2</f>
            </numRef>
          </cat>
          <val>
            <numRef>
              <f>'Best_Case_B2B_Revenue_Build'!$E$9</f>
            </numRef>
          </val>
        </ser>
        <ser>
          <idx val="4"/>
          <order val="4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'Best_Case_B2B_Revenue_Build'!$B$2:$AK$2</f>
            </numRef>
          </cat>
          <val>
            <numRef>
              <f>'Best_Case_B2B_Revenue_Build'!$F$9</f>
            </numRef>
          </val>
        </ser>
        <ser>
          <idx val="5"/>
          <order val="5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'Best_Case_B2B_Revenue_Build'!$B$2:$AK$2</f>
            </numRef>
          </cat>
          <val>
            <numRef>
              <f>'Best_Case_B2B_Revenue_Build'!$G$9</f>
            </numRef>
          </val>
        </ser>
        <ser>
          <idx val="6"/>
          <order val="6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'Best_Case_B2B_Revenue_Build'!$B$2:$AK$2</f>
            </numRef>
          </cat>
          <val>
            <numRef>
              <f>'Best_Case_B2B_Revenue_Build'!$H$9</f>
            </numRef>
          </val>
        </ser>
        <ser>
          <idx val="7"/>
          <order val="7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'Best_Case_B2B_Revenue_Build'!$B$2:$AK$2</f>
            </numRef>
          </cat>
          <val>
            <numRef>
              <f>'Best_Case_B2B_Revenue_Build'!$I$9</f>
            </numRef>
          </val>
        </ser>
        <ser>
          <idx val="8"/>
          <order val="8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'Best_Case_B2B_Revenue_Build'!$B$2:$AK$2</f>
            </numRef>
          </cat>
          <val>
            <numRef>
              <f>'Best_Case_B2B_Revenue_Build'!$J$9</f>
            </numRef>
          </val>
        </ser>
        <ser>
          <idx val="9"/>
          <order val="9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'Best_Case_B2B_Revenue_Build'!$B$2:$AK$2</f>
            </numRef>
          </cat>
          <val>
            <numRef>
              <f>'Best_Case_B2B_Revenue_Build'!$K$9</f>
            </numRef>
          </val>
        </ser>
        <ser>
          <idx val="10"/>
          <order val="10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'Best_Case_B2B_Revenue_Build'!$B$2:$AK$2</f>
            </numRef>
          </cat>
          <val>
            <numRef>
              <f>'Best_Case_B2B_Revenue_Build'!$L$9</f>
            </numRef>
          </val>
        </ser>
        <ser>
          <idx val="11"/>
          <order val="11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'Best_Case_B2B_Revenue_Build'!$B$2:$AK$2</f>
            </numRef>
          </cat>
          <val>
            <numRef>
              <f>'Best_Case_B2B_Revenue_Build'!$M$9</f>
            </numRef>
          </val>
        </ser>
        <ser>
          <idx val="12"/>
          <order val="12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'Best_Case_B2B_Revenue_Build'!$B$2:$AK$2</f>
            </numRef>
          </cat>
          <val>
            <numRef>
              <f>'Best_Case_B2B_Revenue_Build'!$N$9</f>
            </numRef>
          </val>
        </ser>
        <ser>
          <idx val="13"/>
          <order val="13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'Best_Case_B2B_Revenue_Build'!$B$2:$AK$2</f>
            </numRef>
          </cat>
          <val>
            <numRef>
              <f>'Best_Case_B2B_Revenue_Build'!$O$9</f>
            </numRef>
          </val>
        </ser>
        <ser>
          <idx val="14"/>
          <order val="14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'Best_Case_B2B_Revenue_Build'!$B$2:$AK$2</f>
            </numRef>
          </cat>
          <val>
            <numRef>
              <f>'Best_Case_B2B_Revenue_Build'!$P$9</f>
            </numRef>
          </val>
        </ser>
        <ser>
          <idx val="15"/>
          <order val="15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'Best_Case_B2B_Revenue_Build'!$B$2:$AK$2</f>
            </numRef>
          </cat>
          <val>
            <numRef>
              <f>'Best_Case_B2B_Revenue_Build'!$Q$9</f>
            </numRef>
          </val>
        </ser>
        <ser>
          <idx val="16"/>
          <order val="16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'Best_Case_B2B_Revenue_Build'!$B$2:$AK$2</f>
            </numRef>
          </cat>
          <val>
            <numRef>
              <f>'Best_Case_B2B_Revenue_Build'!$R$9</f>
            </numRef>
          </val>
        </ser>
        <ser>
          <idx val="17"/>
          <order val="17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'Best_Case_B2B_Revenue_Build'!$B$2:$AK$2</f>
            </numRef>
          </cat>
          <val>
            <numRef>
              <f>'Best_Case_B2B_Revenue_Build'!$S$9</f>
            </numRef>
          </val>
        </ser>
        <ser>
          <idx val="18"/>
          <order val="18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'Best_Case_B2B_Revenue_Build'!$B$2:$AK$2</f>
            </numRef>
          </cat>
          <val>
            <numRef>
              <f>'Best_Case_B2B_Revenue_Build'!$T$9</f>
            </numRef>
          </val>
        </ser>
        <ser>
          <idx val="19"/>
          <order val="19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'Best_Case_B2B_Revenue_Build'!$B$2:$AK$2</f>
            </numRef>
          </cat>
          <val>
            <numRef>
              <f>'Best_Case_B2B_Revenue_Build'!$U$9</f>
            </numRef>
          </val>
        </ser>
        <ser>
          <idx val="20"/>
          <order val="20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'Best_Case_B2B_Revenue_Build'!$B$2:$AK$2</f>
            </numRef>
          </cat>
          <val>
            <numRef>
              <f>'Best_Case_B2B_Revenue_Build'!$V$9</f>
            </numRef>
          </val>
        </ser>
        <ser>
          <idx val="21"/>
          <order val="21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'Best_Case_B2B_Revenue_Build'!$B$2:$AK$2</f>
            </numRef>
          </cat>
          <val>
            <numRef>
              <f>'Best_Case_B2B_Revenue_Build'!$W$9</f>
            </numRef>
          </val>
        </ser>
        <ser>
          <idx val="22"/>
          <order val="22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'Best_Case_B2B_Revenue_Build'!$B$2:$AK$2</f>
            </numRef>
          </cat>
          <val>
            <numRef>
              <f>'Best_Case_B2B_Revenue_Build'!$X$9</f>
            </numRef>
          </val>
        </ser>
        <ser>
          <idx val="23"/>
          <order val="23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'Best_Case_B2B_Revenue_Build'!$B$2:$AK$2</f>
            </numRef>
          </cat>
          <val>
            <numRef>
              <f>'Best_Case_B2B_Revenue_Build'!$Y$9</f>
            </numRef>
          </val>
        </ser>
        <ser>
          <idx val="24"/>
          <order val="24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'Best_Case_B2B_Revenue_Build'!$B$2:$AK$2</f>
            </numRef>
          </cat>
          <val>
            <numRef>
              <f>'Best_Case_B2B_Revenue_Build'!$Z$9</f>
            </numRef>
          </val>
        </ser>
        <ser>
          <idx val="25"/>
          <order val="25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'Best_Case_B2B_Revenue_Build'!$B$2:$AK$2</f>
            </numRef>
          </cat>
          <val>
            <numRef>
              <f>'Best_Case_B2B_Revenue_Build'!$AA$9</f>
            </numRef>
          </val>
        </ser>
        <ser>
          <idx val="26"/>
          <order val="26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'Best_Case_B2B_Revenue_Build'!$B$2:$AK$2</f>
            </numRef>
          </cat>
          <val>
            <numRef>
              <f>'Best_Case_B2B_Revenue_Build'!$AB$9</f>
            </numRef>
          </val>
        </ser>
        <ser>
          <idx val="27"/>
          <order val="27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'Best_Case_B2B_Revenue_Build'!$B$2:$AK$2</f>
            </numRef>
          </cat>
          <val>
            <numRef>
              <f>'Best_Case_B2B_Revenue_Build'!$AC$9</f>
            </numRef>
          </val>
        </ser>
        <ser>
          <idx val="28"/>
          <order val="28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'Best_Case_B2B_Revenue_Build'!$B$2:$AK$2</f>
            </numRef>
          </cat>
          <val>
            <numRef>
              <f>'Best_Case_B2B_Revenue_Build'!$AD$9</f>
            </numRef>
          </val>
        </ser>
        <ser>
          <idx val="29"/>
          <order val="29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'Best_Case_B2B_Revenue_Build'!$B$2:$AK$2</f>
            </numRef>
          </cat>
          <val>
            <numRef>
              <f>'Best_Case_B2B_Revenue_Build'!$AE$9</f>
            </numRef>
          </val>
        </ser>
        <ser>
          <idx val="30"/>
          <order val="30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'Best_Case_B2B_Revenue_Build'!$B$2:$AK$2</f>
            </numRef>
          </cat>
          <val>
            <numRef>
              <f>'Best_Case_B2B_Revenue_Build'!$AF$9</f>
            </numRef>
          </val>
        </ser>
        <ser>
          <idx val="31"/>
          <order val="31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'Best_Case_B2B_Revenue_Build'!$B$2:$AK$2</f>
            </numRef>
          </cat>
          <val>
            <numRef>
              <f>'Best_Case_B2B_Revenue_Build'!$AG$9</f>
            </numRef>
          </val>
        </ser>
        <ser>
          <idx val="32"/>
          <order val="32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'Best_Case_B2B_Revenue_Build'!$B$2:$AK$2</f>
            </numRef>
          </cat>
          <val>
            <numRef>
              <f>'Best_Case_B2B_Revenue_Build'!$AH$9</f>
            </numRef>
          </val>
        </ser>
        <ser>
          <idx val="33"/>
          <order val="33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'Best_Case_B2B_Revenue_Build'!$B$2:$AK$2</f>
            </numRef>
          </cat>
          <val>
            <numRef>
              <f>'Best_Case_B2B_Revenue_Build'!$AI$9</f>
            </numRef>
          </val>
        </ser>
        <ser>
          <idx val="34"/>
          <order val="34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'Best_Case_B2B_Revenue_Build'!$B$2:$AK$2</f>
            </numRef>
          </cat>
          <val>
            <numRef>
              <f>'Best_Case_B2B_Revenue_Build'!$AJ$9</f>
            </numRef>
          </val>
        </ser>
        <ser>
          <idx val="35"/>
          <order val="35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'Best_Case_B2B_Revenue_Build'!$B$2:$AK$2</f>
            </numRef>
          </cat>
          <val>
            <numRef>
              <f>'Best_Case_B2B_Revenue_Build'!$AK$9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Ending Cash</a:t>
            </a:r>
          </a:p>
        </rich>
      </tx>
    </title>
    <plotArea>
      <lineChart>
        <grouping val="standard"/>
        <ser>
          <idx val="0"/>
          <order val="0"/>
          <tx>
            <v>Cash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'Cash_Flow&amp;summary'!$B$2:$AK$2</f>
            </numRef>
          </cat>
          <val>
            <numRef>
              <f>'Cash_Flow&amp;summary'!$B$6</f>
            </numRef>
          </val>
        </ser>
        <ser>
          <idx val="1"/>
          <order val="1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'Cash_Flow&amp;summary'!$B$2:$AK$2</f>
            </numRef>
          </cat>
          <val>
            <numRef>
              <f>'Cash_Flow&amp;summary'!$C$6</f>
            </numRef>
          </val>
        </ser>
        <ser>
          <idx val="2"/>
          <order val="2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'Cash_Flow&amp;summary'!$B$2:$AK$2</f>
            </numRef>
          </cat>
          <val>
            <numRef>
              <f>'Cash_Flow&amp;summary'!$D$6</f>
            </numRef>
          </val>
        </ser>
        <ser>
          <idx val="3"/>
          <order val="3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'Cash_Flow&amp;summary'!$B$2:$AK$2</f>
            </numRef>
          </cat>
          <val>
            <numRef>
              <f>'Cash_Flow&amp;summary'!$E$6</f>
            </numRef>
          </val>
        </ser>
        <ser>
          <idx val="4"/>
          <order val="4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'Cash_Flow&amp;summary'!$B$2:$AK$2</f>
            </numRef>
          </cat>
          <val>
            <numRef>
              <f>'Cash_Flow&amp;summary'!$F$6</f>
            </numRef>
          </val>
        </ser>
        <ser>
          <idx val="5"/>
          <order val="5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'Cash_Flow&amp;summary'!$B$2:$AK$2</f>
            </numRef>
          </cat>
          <val>
            <numRef>
              <f>'Cash_Flow&amp;summary'!$G$6</f>
            </numRef>
          </val>
        </ser>
        <ser>
          <idx val="6"/>
          <order val="6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'Cash_Flow&amp;summary'!$B$2:$AK$2</f>
            </numRef>
          </cat>
          <val>
            <numRef>
              <f>'Cash_Flow&amp;summary'!$H$6</f>
            </numRef>
          </val>
        </ser>
        <ser>
          <idx val="7"/>
          <order val="7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'Cash_Flow&amp;summary'!$B$2:$AK$2</f>
            </numRef>
          </cat>
          <val>
            <numRef>
              <f>'Cash_Flow&amp;summary'!$I$6</f>
            </numRef>
          </val>
        </ser>
        <ser>
          <idx val="8"/>
          <order val="8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'Cash_Flow&amp;summary'!$B$2:$AK$2</f>
            </numRef>
          </cat>
          <val>
            <numRef>
              <f>'Cash_Flow&amp;summary'!$J$6</f>
            </numRef>
          </val>
        </ser>
        <ser>
          <idx val="9"/>
          <order val="9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'Cash_Flow&amp;summary'!$B$2:$AK$2</f>
            </numRef>
          </cat>
          <val>
            <numRef>
              <f>'Cash_Flow&amp;summary'!$K$6</f>
            </numRef>
          </val>
        </ser>
        <ser>
          <idx val="10"/>
          <order val="10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'Cash_Flow&amp;summary'!$B$2:$AK$2</f>
            </numRef>
          </cat>
          <val>
            <numRef>
              <f>'Cash_Flow&amp;summary'!$L$6</f>
            </numRef>
          </val>
        </ser>
        <ser>
          <idx val="11"/>
          <order val="11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'Cash_Flow&amp;summary'!$B$2:$AK$2</f>
            </numRef>
          </cat>
          <val>
            <numRef>
              <f>'Cash_Flow&amp;summary'!$M$6</f>
            </numRef>
          </val>
        </ser>
        <ser>
          <idx val="12"/>
          <order val="12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'Cash_Flow&amp;summary'!$B$2:$AK$2</f>
            </numRef>
          </cat>
          <val>
            <numRef>
              <f>'Cash_Flow&amp;summary'!$N$6</f>
            </numRef>
          </val>
        </ser>
        <ser>
          <idx val="13"/>
          <order val="13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'Cash_Flow&amp;summary'!$B$2:$AK$2</f>
            </numRef>
          </cat>
          <val>
            <numRef>
              <f>'Cash_Flow&amp;summary'!$O$6</f>
            </numRef>
          </val>
        </ser>
        <ser>
          <idx val="14"/>
          <order val="14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'Cash_Flow&amp;summary'!$B$2:$AK$2</f>
            </numRef>
          </cat>
          <val>
            <numRef>
              <f>'Cash_Flow&amp;summary'!$P$6</f>
            </numRef>
          </val>
        </ser>
        <ser>
          <idx val="15"/>
          <order val="15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'Cash_Flow&amp;summary'!$B$2:$AK$2</f>
            </numRef>
          </cat>
          <val>
            <numRef>
              <f>'Cash_Flow&amp;summary'!$Q$6</f>
            </numRef>
          </val>
        </ser>
        <ser>
          <idx val="16"/>
          <order val="16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'Cash_Flow&amp;summary'!$B$2:$AK$2</f>
            </numRef>
          </cat>
          <val>
            <numRef>
              <f>'Cash_Flow&amp;summary'!$R$6</f>
            </numRef>
          </val>
        </ser>
        <ser>
          <idx val="17"/>
          <order val="17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'Cash_Flow&amp;summary'!$B$2:$AK$2</f>
            </numRef>
          </cat>
          <val>
            <numRef>
              <f>'Cash_Flow&amp;summary'!$S$6</f>
            </numRef>
          </val>
        </ser>
        <ser>
          <idx val="18"/>
          <order val="18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'Cash_Flow&amp;summary'!$B$2:$AK$2</f>
            </numRef>
          </cat>
          <val>
            <numRef>
              <f>'Cash_Flow&amp;summary'!$T$6</f>
            </numRef>
          </val>
        </ser>
        <ser>
          <idx val="19"/>
          <order val="19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'Cash_Flow&amp;summary'!$B$2:$AK$2</f>
            </numRef>
          </cat>
          <val>
            <numRef>
              <f>'Cash_Flow&amp;summary'!$U$6</f>
            </numRef>
          </val>
        </ser>
        <ser>
          <idx val="20"/>
          <order val="20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'Cash_Flow&amp;summary'!$B$2:$AK$2</f>
            </numRef>
          </cat>
          <val>
            <numRef>
              <f>'Cash_Flow&amp;summary'!$V$6</f>
            </numRef>
          </val>
        </ser>
        <ser>
          <idx val="21"/>
          <order val="21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'Cash_Flow&amp;summary'!$B$2:$AK$2</f>
            </numRef>
          </cat>
          <val>
            <numRef>
              <f>'Cash_Flow&amp;summary'!$W$6</f>
            </numRef>
          </val>
        </ser>
        <ser>
          <idx val="22"/>
          <order val="22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'Cash_Flow&amp;summary'!$B$2:$AK$2</f>
            </numRef>
          </cat>
          <val>
            <numRef>
              <f>'Cash_Flow&amp;summary'!$X$6</f>
            </numRef>
          </val>
        </ser>
        <ser>
          <idx val="23"/>
          <order val="23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'Cash_Flow&amp;summary'!$B$2:$AK$2</f>
            </numRef>
          </cat>
          <val>
            <numRef>
              <f>'Cash_Flow&amp;summary'!$Y$6</f>
            </numRef>
          </val>
        </ser>
        <ser>
          <idx val="24"/>
          <order val="24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'Cash_Flow&amp;summary'!$B$2:$AK$2</f>
            </numRef>
          </cat>
          <val>
            <numRef>
              <f>'Cash_Flow&amp;summary'!$Z$6</f>
            </numRef>
          </val>
        </ser>
        <ser>
          <idx val="25"/>
          <order val="25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'Cash_Flow&amp;summary'!$B$2:$AK$2</f>
            </numRef>
          </cat>
          <val>
            <numRef>
              <f>'Cash_Flow&amp;summary'!$AA$6</f>
            </numRef>
          </val>
        </ser>
        <ser>
          <idx val="26"/>
          <order val="26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'Cash_Flow&amp;summary'!$B$2:$AK$2</f>
            </numRef>
          </cat>
          <val>
            <numRef>
              <f>'Cash_Flow&amp;summary'!$AB$6</f>
            </numRef>
          </val>
        </ser>
        <ser>
          <idx val="27"/>
          <order val="27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'Cash_Flow&amp;summary'!$B$2:$AK$2</f>
            </numRef>
          </cat>
          <val>
            <numRef>
              <f>'Cash_Flow&amp;summary'!$AC$6</f>
            </numRef>
          </val>
        </ser>
        <ser>
          <idx val="28"/>
          <order val="28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'Cash_Flow&amp;summary'!$B$2:$AK$2</f>
            </numRef>
          </cat>
          <val>
            <numRef>
              <f>'Cash_Flow&amp;summary'!$AD$6</f>
            </numRef>
          </val>
        </ser>
        <ser>
          <idx val="29"/>
          <order val="29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'Cash_Flow&amp;summary'!$B$2:$AK$2</f>
            </numRef>
          </cat>
          <val>
            <numRef>
              <f>'Cash_Flow&amp;summary'!$AE$6</f>
            </numRef>
          </val>
        </ser>
        <ser>
          <idx val="30"/>
          <order val="30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'Cash_Flow&amp;summary'!$B$2:$AK$2</f>
            </numRef>
          </cat>
          <val>
            <numRef>
              <f>'Cash_Flow&amp;summary'!$AF$6</f>
            </numRef>
          </val>
        </ser>
        <ser>
          <idx val="31"/>
          <order val="31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'Cash_Flow&amp;summary'!$B$2:$AK$2</f>
            </numRef>
          </cat>
          <val>
            <numRef>
              <f>'Cash_Flow&amp;summary'!$AG$6</f>
            </numRef>
          </val>
        </ser>
        <ser>
          <idx val="32"/>
          <order val="32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'Cash_Flow&amp;summary'!$B$2:$AK$2</f>
            </numRef>
          </cat>
          <val>
            <numRef>
              <f>'Cash_Flow&amp;summary'!$AH$6</f>
            </numRef>
          </val>
        </ser>
        <ser>
          <idx val="33"/>
          <order val="33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'Cash_Flow&amp;summary'!$B$2:$AK$2</f>
            </numRef>
          </cat>
          <val>
            <numRef>
              <f>'Cash_Flow&amp;summary'!$AI$6</f>
            </numRef>
          </val>
        </ser>
        <ser>
          <idx val="34"/>
          <order val="34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'Cash_Flow&amp;summary'!$B$2:$AK$2</f>
            </numRef>
          </cat>
          <val>
            <numRef>
              <f>'Cash_Flow&amp;summary'!$AJ$6</f>
            </numRef>
          </val>
        </ser>
        <ser>
          <idx val="35"/>
          <order val="35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'Cash_Flow&amp;summary'!$B$2:$AK$2</f>
            </numRef>
          </cat>
          <val>
            <numRef>
              <f>'Cash_Flow&amp;summary'!$AK$6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2</row>
      <rowOff>0</rowOff>
    </from>
    <ext cx="576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19</row>
      <rowOff>0</rowOff>
    </from>
    <ext cx="5760000" cy="25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8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L15"/>
  <sheetViews>
    <sheetView workbookViewId="0">
      <selection activeCell="A2" sqref="A2:J2"/>
    </sheetView>
  </sheetViews>
  <sheetFormatPr baseColWidth="8" defaultColWidth="12.625" defaultRowHeight="15" customHeight="1"/>
  <cols>
    <col width="22" customWidth="1" style="87" min="1" max="3"/>
    <col width="10" customWidth="1" style="87" min="2" max="2"/>
    <col width="10" customWidth="1" style="87" min="3" max="3"/>
    <col width="10" customWidth="1" style="87" min="4" max="10"/>
    <col width="10" customWidth="1" style="87" min="5" max="5"/>
    <col width="10" customWidth="1" style="87" min="6" max="6"/>
    <col width="10" customWidth="1" style="87" min="7" max="7"/>
    <col width="10" customWidth="1" style="87" min="8" max="8"/>
    <col width="10" customWidth="1" style="87" min="9" max="9"/>
    <col width="10" customWidth="1" style="87" min="10" max="10"/>
    <col width="10" customWidth="1" style="87" min="11" max="11"/>
    <col width="10" customWidth="1" style="87" min="12" max="12"/>
    <col width="10" customWidth="1" style="87" min="13" max="13"/>
    <col width="10" customWidth="1" style="87" min="14" max="14"/>
    <col width="10" customWidth="1" style="87" min="15" max="15"/>
    <col width="10" customWidth="1" style="87" min="16" max="16"/>
    <col width="10" customWidth="1" style="87" min="17" max="17"/>
    <col width="10" customWidth="1" style="87" min="18" max="18"/>
    <col width="10" customWidth="1" style="87" min="19" max="19"/>
    <col width="10" customWidth="1" style="87" min="20" max="20"/>
    <col width="10" customWidth="1" style="87" min="21" max="21"/>
    <col width="10" customWidth="1" style="87" min="22" max="22"/>
    <col width="10" customWidth="1" style="87" min="23" max="23"/>
    <col width="10" customWidth="1" style="87" min="24" max="24"/>
    <col width="10" customWidth="1" style="87" min="25" max="25"/>
    <col width="10" customWidth="1" style="87" min="26" max="26"/>
    <col width="10" customWidth="1" style="87" min="27" max="27"/>
    <col width="10" customWidth="1" style="87" min="28" max="28"/>
    <col width="10" customWidth="1" style="87" min="29" max="29"/>
    <col width="10" customWidth="1" style="87" min="30" max="30"/>
    <col width="10" customWidth="1" style="87" min="31" max="31"/>
    <col width="10" customWidth="1" style="87" min="32" max="32"/>
    <col width="10" customWidth="1" style="87" min="33" max="33"/>
    <col width="10" customWidth="1" style="87" min="34" max="34"/>
    <col width="10" customWidth="1" style="87" min="35" max="35"/>
    <col width="10" customWidth="1" style="87" min="36" max="36"/>
    <col width="10" customWidth="1" style="87" min="37" max="37"/>
  </cols>
  <sheetData>
    <row r="1" ht="25.5" customHeight="1" s="87">
      <c r="A1" s="162" t="inlineStr">
        <is>
          <t>CASH FLOW &amp; SUMMARY</t>
        </is>
      </c>
    </row>
    <row r="2" ht="13.5" customHeight="1" s="87">
      <c r="A2" s="163" t="inlineStr">
        <is>
          <t>Metric</t>
        </is>
      </c>
      <c r="B2" s="163" t="inlineStr">
        <is>
          <t>M1</t>
        </is>
      </c>
      <c r="C2" s="163" t="inlineStr">
        <is>
          <t>M2</t>
        </is>
      </c>
      <c r="D2" s="163" t="inlineStr">
        <is>
          <t>M3</t>
        </is>
      </c>
      <c r="E2" s="163" t="inlineStr">
        <is>
          <t>M4</t>
        </is>
      </c>
      <c r="F2" s="163" t="inlineStr">
        <is>
          <t>M5</t>
        </is>
      </c>
      <c r="G2" s="163" t="inlineStr">
        <is>
          <t>M6</t>
        </is>
      </c>
      <c r="H2" s="163" t="inlineStr">
        <is>
          <t>M7</t>
        </is>
      </c>
      <c r="I2" s="163" t="inlineStr">
        <is>
          <t>M8</t>
        </is>
      </c>
      <c r="J2" s="163" t="inlineStr">
        <is>
          <t>M9</t>
        </is>
      </c>
      <c r="K2" s="163" t="inlineStr">
        <is>
          <t>M10</t>
        </is>
      </c>
      <c r="L2" s="163" t="inlineStr">
        <is>
          <t>M11</t>
        </is>
      </c>
      <c r="M2" s="163" t="inlineStr">
        <is>
          <t>M12</t>
        </is>
      </c>
      <c r="N2" s="163" t="inlineStr">
        <is>
          <t>M13</t>
        </is>
      </c>
      <c r="O2" s="163" t="inlineStr">
        <is>
          <t>M14</t>
        </is>
      </c>
      <c r="P2" s="163" t="inlineStr">
        <is>
          <t>M15</t>
        </is>
      </c>
      <c r="Q2" s="163" t="inlineStr">
        <is>
          <t>M16</t>
        </is>
      </c>
      <c r="R2" s="163" t="inlineStr">
        <is>
          <t>M17</t>
        </is>
      </c>
      <c r="S2" s="163" t="inlineStr">
        <is>
          <t>M18</t>
        </is>
      </c>
      <c r="T2" s="163" t="inlineStr">
        <is>
          <t>M19</t>
        </is>
      </c>
      <c r="U2" s="163" t="inlineStr">
        <is>
          <t>M20</t>
        </is>
      </c>
      <c r="V2" s="163" t="inlineStr">
        <is>
          <t>M21</t>
        </is>
      </c>
      <c r="W2" s="163" t="inlineStr">
        <is>
          <t>M22</t>
        </is>
      </c>
      <c r="X2" s="163" t="inlineStr">
        <is>
          <t>M23</t>
        </is>
      </c>
      <c r="Y2" s="163" t="inlineStr">
        <is>
          <t>M24</t>
        </is>
      </c>
      <c r="Z2" s="163" t="inlineStr">
        <is>
          <t>M25</t>
        </is>
      </c>
      <c r="AA2" s="163" t="inlineStr">
        <is>
          <t>M26</t>
        </is>
      </c>
      <c r="AB2" s="163" t="inlineStr">
        <is>
          <t>M27</t>
        </is>
      </c>
      <c r="AC2" s="163" t="inlineStr">
        <is>
          <t>M28</t>
        </is>
      </c>
      <c r="AD2" s="163" t="inlineStr">
        <is>
          <t>M29</t>
        </is>
      </c>
      <c r="AE2" s="163" t="inlineStr">
        <is>
          <t>M30</t>
        </is>
      </c>
      <c r="AF2" s="163" t="inlineStr">
        <is>
          <t>M31</t>
        </is>
      </c>
      <c r="AG2" s="163" t="inlineStr">
        <is>
          <t>M32</t>
        </is>
      </c>
      <c r="AH2" s="163" t="inlineStr">
        <is>
          <t>M33</t>
        </is>
      </c>
      <c r="AI2" s="163" t="inlineStr">
        <is>
          <t>M34</t>
        </is>
      </c>
      <c r="AJ2" s="163" t="inlineStr">
        <is>
          <t>M35</t>
        </is>
      </c>
      <c r="AK2" s="163" t="inlineStr">
        <is>
          <t>M36</t>
        </is>
      </c>
      <c r="AL2" s="163" t="n"/>
    </row>
    <row r="3" ht="13.5" customHeight="1" s="87">
      <c r="A3" s="164" t="inlineStr">
        <is>
          <t>Starting Cash</t>
        </is>
      </c>
      <c r="B3" s="165">
        <f>START_CASH</f>
        <v/>
      </c>
      <c r="C3" s="165">
        <f>B6</f>
        <v/>
      </c>
      <c r="D3" s="165">
        <f>C6</f>
        <v/>
      </c>
      <c r="E3" s="165">
        <f>D6</f>
        <v/>
      </c>
      <c r="F3" s="165">
        <f>E6</f>
        <v/>
      </c>
      <c r="G3" s="165">
        <f>F6</f>
        <v/>
      </c>
      <c r="H3" s="165">
        <f>G6</f>
        <v/>
      </c>
      <c r="I3" s="165">
        <f>H6</f>
        <v/>
      </c>
      <c r="J3" s="165">
        <f>I6</f>
        <v/>
      </c>
      <c r="K3" s="165">
        <f>J6</f>
        <v/>
      </c>
      <c r="L3" s="165">
        <f>K6</f>
        <v/>
      </c>
      <c r="M3" s="165">
        <f>L6</f>
        <v/>
      </c>
      <c r="N3" s="165">
        <f>M6</f>
        <v/>
      </c>
      <c r="O3" s="165">
        <f>N6</f>
        <v/>
      </c>
      <c r="P3" s="165">
        <f>O6</f>
        <v/>
      </c>
      <c r="Q3" s="165">
        <f>P6</f>
        <v/>
      </c>
      <c r="R3" s="165">
        <f>Q6</f>
        <v/>
      </c>
      <c r="S3" s="165">
        <f>R6</f>
        <v/>
      </c>
      <c r="T3" s="165">
        <f>S6</f>
        <v/>
      </c>
      <c r="U3" s="165">
        <f>T6</f>
        <v/>
      </c>
      <c r="V3" s="165">
        <f>U6</f>
        <v/>
      </c>
      <c r="W3" s="165">
        <f>V6</f>
        <v/>
      </c>
      <c r="X3" s="165">
        <f>W6</f>
        <v/>
      </c>
      <c r="Y3" s="165">
        <f>X6</f>
        <v/>
      </c>
      <c r="Z3" s="165">
        <f>Y6</f>
        <v/>
      </c>
      <c r="AA3" s="165">
        <f>Z6</f>
        <v/>
      </c>
      <c r="AB3" s="165">
        <f>AA6</f>
        <v/>
      </c>
      <c r="AC3" s="165">
        <f>AB6</f>
        <v/>
      </c>
      <c r="AD3" s="165">
        <f>AC6</f>
        <v/>
      </c>
      <c r="AE3" s="165">
        <f>AD6</f>
        <v/>
      </c>
      <c r="AF3" s="165">
        <f>AE6</f>
        <v/>
      </c>
      <c r="AG3" s="165">
        <f>AF6</f>
        <v/>
      </c>
      <c r="AH3" s="165">
        <f>AG6</f>
        <v/>
      </c>
      <c r="AI3" s="165">
        <f>AH6</f>
        <v/>
      </c>
      <c r="AJ3" s="165">
        <f>AI6</f>
        <v/>
      </c>
      <c r="AK3" s="165">
        <f>AJ6</f>
        <v/>
      </c>
    </row>
    <row r="4" ht="13.5" customHeight="1" s="87">
      <c r="A4" s="164" t="inlineStr">
        <is>
          <t>EBITDA</t>
        </is>
      </c>
      <c r="B4" s="165">
        <f>'Proforma_P&amp;L_Monthly'!B7</f>
        <v/>
      </c>
      <c r="C4" s="165">
        <f>'Proforma_P&amp;L_Monthly'!C7</f>
        <v/>
      </c>
      <c r="D4" s="165">
        <f>'Proforma_P&amp;L_Monthly'!D7</f>
        <v/>
      </c>
      <c r="E4" s="165">
        <f>'Proforma_P&amp;L_Monthly'!E7</f>
        <v/>
      </c>
      <c r="F4" s="165">
        <f>'Proforma_P&amp;L_Monthly'!F7</f>
        <v/>
      </c>
      <c r="G4" s="165">
        <f>'Proforma_P&amp;L_Monthly'!G7</f>
        <v/>
      </c>
      <c r="H4" s="165">
        <f>'Proforma_P&amp;L_Monthly'!H7</f>
        <v/>
      </c>
      <c r="I4" s="165">
        <f>'Proforma_P&amp;L_Monthly'!I7</f>
        <v/>
      </c>
      <c r="J4" s="165">
        <f>'Proforma_P&amp;L_Monthly'!J7</f>
        <v/>
      </c>
      <c r="K4" s="165">
        <f>'Proforma_P&amp;L_Monthly'!K7</f>
        <v/>
      </c>
      <c r="L4" s="165">
        <f>'Proforma_P&amp;L_Monthly'!L7</f>
        <v/>
      </c>
      <c r="M4" s="165">
        <f>'Proforma_P&amp;L_Monthly'!M7</f>
        <v/>
      </c>
      <c r="N4" s="165">
        <f>'Proforma_P&amp;L_Monthly'!N7</f>
        <v/>
      </c>
      <c r="O4" s="165">
        <f>'Proforma_P&amp;L_Monthly'!O7</f>
        <v/>
      </c>
      <c r="P4" s="165">
        <f>'Proforma_P&amp;L_Monthly'!P7</f>
        <v/>
      </c>
      <c r="Q4" s="165">
        <f>'Proforma_P&amp;L_Monthly'!Q7</f>
        <v/>
      </c>
      <c r="R4" s="165">
        <f>'Proforma_P&amp;L_Monthly'!R7</f>
        <v/>
      </c>
      <c r="S4" s="165">
        <f>'Proforma_P&amp;L_Monthly'!S7</f>
        <v/>
      </c>
      <c r="T4" s="165">
        <f>'Proforma_P&amp;L_Monthly'!T7</f>
        <v/>
      </c>
      <c r="U4" s="165">
        <f>'Proforma_P&amp;L_Monthly'!U7</f>
        <v/>
      </c>
      <c r="V4" s="165">
        <f>'Proforma_P&amp;L_Monthly'!V7</f>
        <v/>
      </c>
      <c r="W4" s="165">
        <f>'Proforma_P&amp;L_Monthly'!W7</f>
        <v/>
      </c>
      <c r="X4" s="165">
        <f>'Proforma_P&amp;L_Monthly'!X7</f>
        <v/>
      </c>
      <c r="Y4" s="165">
        <f>'Proforma_P&amp;L_Monthly'!Y7</f>
        <v/>
      </c>
      <c r="Z4" s="165">
        <f>'Proforma_P&amp;L_Monthly'!Z7</f>
        <v/>
      </c>
      <c r="AA4" s="165">
        <f>'Proforma_P&amp;L_Monthly'!AA7</f>
        <v/>
      </c>
      <c r="AB4" s="165">
        <f>'Proforma_P&amp;L_Monthly'!AB7</f>
        <v/>
      </c>
      <c r="AC4" s="165">
        <f>'Proforma_P&amp;L_Monthly'!AC7</f>
        <v/>
      </c>
      <c r="AD4" s="165">
        <f>'Proforma_P&amp;L_Monthly'!AD7</f>
        <v/>
      </c>
      <c r="AE4" s="165">
        <f>'Proforma_P&amp;L_Monthly'!AE7</f>
        <v/>
      </c>
      <c r="AF4" s="165">
        <f>'Proforma_P&amp;L_Monthly'!AF7</f>
        <v/>
      </c>
      <c r="AG4" s="165">
        <f>'Proforma_P&amp;L_Monthly'!AG7</f>
        <v/>
      </c>
      <c r="AH4" s="165">
        <f>'Proforma_P&amp;L_Monthly'!AH7</f>
        <v/>
      </c>
      <c r="AI4" s="165">
        <f>'Proforma_P&amp;L_Monthly'!AI7</f>
        <v/>
      </c>
      <c r="AJ4" s="165">
        <f>'Proforma_P&amp;L_Monthly'!AJ7</f>
        <v/>
      </c>
      <c r="AK4" s="165">
        <f>'Proforma_P&amp;L_Monthly'!AK7</f>
        <v/>
      </c>
    </row>
    <row r="5" ht="13.5" customHeight="1" s="87">
      <c r="A5" s="164" t="inlineStr">
        <is>
          <t>Funding Inflow</t>
        </is>
      </c>
      <c r="B5" s="165">
        <f>IF(1=Input!$B28,Input!$B27,IF(AND(Input!$B31=1,1=Input!$B32),Input!$B33,0))</f>
        <v/>
      </c>
      <c r="C5" s="165">
        <f>IF(2=Input!$B28,Input!$B27,IF(AND(Input!$B31=1,2=Input!$B32),Input!$B33,0))</f>
        <v/>
      </c>
      <c r="D5" s="165">
        <f>IF(3=Input!$B28,Input!$B27,IF(AND(Input!$B31=1,3=Input!$B32),Input!$B33,0))</f>
        <v/>
      </c>
      <c r="E5" s="165">
        <f>IF(4=Input!$B28,Input!$B27,IF(AND(Input!$B31=1,4=Input!$B32),Input!$B33,0))</f>
        <v/>
      </c>
      <c r="F5" s="165">
        <f>IF(5=Input!$B28,Input!$B27,IF(AND(Input!$B31=1,5=Input!$B32),Input!$B33,0))</f>
        <v/>
      </c>
      <c r="G5" s="165">
        <f>IF(6=Input!$B28,Input!$B27,IF(AND(Input!$B31=1,6=Input!$B32),Input!$B33,0))</f>
        <v/>
      </c>
      <c r="H5" s="165">
        <f>IF(7=Input!$B28,Input!$B27,IF(AND(Input!$B31=1,7=Input!$B32),Input!$B33,0))</f>
        <v/>
      </c>
      <c r="I5" s="165">
        <f>IF(8=Input!$B28,Input!$B27,IF(AND(Input!$B31=1,8=Input!$B32),Input!$B33,0))</f>
        <v/>
      </c>
      <c r="J5" s="165">
        <f>IF(9=Input!$B28,Input!$B27,IF(AND(Input!$B31=1,9=Input!$B32),Input!$B33,0))</f>
        <v/>
      </c>
      <c r="K5" s="165">
        <f>IF(10=Input!$B28,Input!$B27,IF(AND(Input!$B31=1,10=Input!$B32),Input!$B33,0))</f>
        <v/>
      </c>
      <c r="L5" s="165">
        <f>IF(11=Input!$B28,Input!$B27,IF(AND(Input!$B31=1,11=Input!$B32),Input!$B33,0))</f>
        <v/>
      </c>
      <c r="M5" s="165">
        <f>IF(12=Input!$B28,Input!$B27,IF(AND(Input!$B31=1,12=Input!$B32),Input!$B33,0))</f>
        <v/>
      </c>
      <c r="N5" s="165">
        <f>IF(13=Input!$B28,Input!$B27,IF(AND(Input!$B31=1,13=Input!$B32),Input!$B33,0))</f>
        <v/>
      </c>
      <c r="O5" s="165">
        <f>IF(14=Input!$B28,Input!$B27,IF(AND(Input!$B31=1,14=Input!$B32),Input!$B33,0))</f>
        <v/>
      </c>
      <c r="P5" s="165">
        <f>IF(15=Input!$B28,Input!$B27,IF(AND(Input!$B31=1,15=Input!$B32),Input!$B33,0))</f>
        <v/>
      </c>
      <c r="Q5" s="165">
        <f>IF(16=Input!$B28,Input!$B27,IF(AND(Input!$B31=1,16=Input!$B32),Input!$B33,0))</f>
        <v/>
      </c>
      <c r="R5" s="165">
        <f>IF(17=Input!$B28,Input!$B27,IF(AND(Input!$B31=1,17=Input!$B32),Input!$B33,0))</f>
        <v/>
      </c>
      <c r="S5" s="165">
        <f>IF(18=Input!$B28,Input!$B27,IF(AND(Input!$B31=1,18=Input!$B32),Input!$B33,0))</f>
        <v/>
      </c>
      <c r="T5" s="165">
        <f>IF(19=Input!$B28,Input!$B27,IF(AND(Input!$B31=1,19=Input!$B32),Input!$B33,0))</f>
        <v/>
      </c>
      <c r="U5" s="165">
        <f>IF(20=Input!$B28,Input!$B27,IF(AND(Input!$B31=1,20=Input!$B32),Input!$B33,0))</f>
        <v/>
      </c>
      <c r="V5" s="165">
        <f>IF(21=Input!$B28,Input!$B27,IF(AND(Input!$B31=1,21=Input!$B32),Input!$B33,0))</f>
        <v/>
      </c>
      <c r="W5" s="165">
        <f>IF(22=Input!$B28,Input!$B27,IF(AND(Input!$B31=1,22=Input!$B32),Input!$B33,0))</f>
        <v/>
      </c>
      <c r="X5" s="165">
        <f>IF(23=Input!$B28,Input!$B27,IF(AND(Input!$B31=1,23=Input!$B32),Input!$B33,0))</f>
        <v/>
      </c>
      <c r="Y5" s="165">
        <f>IF(24=Input!$B28,Input!$B27,IF(AND(Input!$B31=1,24=Input!$B32),Input!$B33,0))</f>
        <v/>
      </c>
      <c r="Z5" s="165">
        <f>IF(25=Input!$B28,Input!$B27,IF(AND(Input!$B31=1,25=Input!$B32),Input!$B33,0))</f>
        <v/>
      </c>
      <c r="AA5" s="165">
        <f>IF(26=Input!$B28,Input!$B27,IF(AND(Input!$B31=1,26=Input!$B32),Input!$B33,0))</f>
        <v/>
      </c>
      <c r="AB5" s="165">
        <f>IF(27=Input!$B28,Input!$B27,IF(AND(Input!$B31=1,27=Input!$B32),Input!$B33,0))</f>
        <v/>
      </c>
      <c r="AC5" s="165">
        <f>IF(28=Input!$B28,Input!$B27,IF(AND(Input!$B31=1,28=Input!$B32),Input!$B33,0))</f>
        <v/>
      </c>
      <c r="AD5" s="165">
        <f>IF(29=Input!$B28,Input!$B27,IF(AND(Input!$B31=1,29=Input!$B32),Input!$B33,0))</f>
        <v/>
      </c>
      <c r="AE5" s="165">
        <f>IF(30=Input!$B28,Input!$B27,IF(AND(Input!$B31=1,30=Input!$B32),Input!$B33,0))</f>
        <v/>
      </c>
      <c r="AF5" s="165">
        <f>IF(31=Input!$B28,Input!$B27,IF(AND(Input!$B31=1,31=Input!$B32),Input!$B33,0))</f>
        <v/>
      </c>
      <c r="AG5" s="165">
        <f>IF(32=Input!$B28,Input!$B27,IF(AND(Input!$B31=1,32=Input!$B32),Input!$B33,0))</f>
        <v/>
      </c>
      <c r="AH5" s="165">
        <f>IF(33=Input!$B28,Input!$B27,IF(AND(Input!$B31=1,33=Input!$B32),Input!$B33,0))</f>
        <v/>
      </c>
      <c r="AI5" s="165">
        <f>IF(34=Input!$B28,Input!$B27,IF(AND(Input!$B31=1,34=Input!$B32),Input!$B33,0))</f>
        <v/>
      </c>
      <c r="AJ5" s="165">
        <f>IF(35=Input!$B28,Input!$B27,IF(AND(Input!$B31=1,35=Input!$B32),Input!$B33,0))</f>
        <v/>
      </c>
      <c r="AK5" s="165">
        <f>IF(36=Input!$B28,Input!$B27,IF(AND(Input!$B31=1,36=Input!$B32),Input!$B33,0))</f>
        <v/>
      </c>
    </row>
    <row r="6" ht="13.5" customHeight="1" s="87">
      <c r="A6" s="164" t="inlineStr">
        <is>
          <t>Ending Cash</t>
        </is>
      </c>
      <c r="B6" s="165">
        <f>B3+B4+B5</f>
        <v/>
      </c>
      <c r="C6" s="165">
        <f>C3+C4+C5</f>
        <v/>
      </c>
      <c r="D6" s="165">
        <f>D3+D4+D5</f>
        <v/>
      </c>
      <c r="E6" s="165">
        <f>E3+E4+E5</f>
        <v/>
      </c>
      <c r="F6" s="165">
        <f>F3+F4+F5</f>
        <v/>
      </c>
      <c r="G6" s="165">
        <f>G3+G4+G5</f>
        <v/>
      </c>
      <c r="H6" s="165">
        <f>H3+H4+H5</f>
        <v/>
      </c>
      <c r="I6" s="165">
        <f>I3+I4+I5</f>
        <v/>
      </c>
      <c r="J6" s="165">
        <f>J3+J4+J5</f>
        <v/>
      </c>
      <c r="K6" s="165">
        <f>K3+K4+K5</f>
        <v/>
      </c>
      <c r="L6" s="165">
        <f>L3+L4+L5</f>
        <v/>
      </c>
      <c r="M6" s="165">
        <f>M3+M4+M5</f>
        <v/>
      </c>
      <c r="N6" s="165">
        <f>N3+N4+N5</f>
        <v/>
      </c>
      <c r="O6" s="165">
        <f>O3+O4+O5</f>
        <v/>
      </c>
      <c r="P6" s="165">
        <f>P3+P4+P5</f>
        <v/>
      </c>
      <c r="Q6" s="165">
        <f>Q3+Q4+Q5</f>
        <v/>
      </c>
      <c r="R6" s="165">
        <f>R3+R4+R5</f>
        <v/>
      </c>
      <c r="S6" s="165">
        <f>S3+S4+S5</f>
        <v/>
      </c>
      <c r="T6" s="165">
        <f>T3+T4+T5</f>
        <v/>
      </c>
      <c r="U6" s="165">
        <f>U3+U4+U5</f>
        <v/>
      </c>
      <c r="V6" s="165">
        <f>V3+V4+V5</f>
        <v/>
      </c>
      <c r="W6" s="165">
        <f>W3+W4+W5</f>
        <v/>
      </c>
      <c r="X6" s="165">
        <f>X3+X4+X5</f>
        <v/>
      </c>
      <c r="Y6" s="165">
        <f>Y3+Y4+Y5</f>
        <v/>
      </c>
      <c r="Z6" s="165">
        <f>Z3+Z4+Z5</f>
        <v/>
      </c>
      <c r="AA6" s="165">
        <f>AA3+AA4+AA5</f>
        <v/>
      </c>
      <c r="AB6" s="165">
        <f>AB3+AB4+AB5</f>
        <v/>
      </c>
      <c r="AC6" s="165">
        <f>AC3+AC4+AC5</f>
        <v/>
      </c>
      <c r="AD6" s="165">
        <f>AD3+AD4+AD5</f>
        <v/>
      </c>
      <c r="AE6" s="165">
        <f>AE3+AE4+AE5</f>
        <v/>
      </c>
      <c r="AF6" s="165">
        <f>AF3+AF4+AF5</f>
        <v/>
      </c>
      <c r="AG6" s="165">
        <f>AG3+AG4+AG5</f>
        <v/>
      </c>
      <c r="AH6" s="165">
        <f>AH3+AH4+AH5</f>
        <v/>
      </c>
      <c r="AI6" s="165">
        <f>AI3+AI4+AI5</f>
        <v/>
      </c>
      <c r="AJ6" s="165">
        <f>AJ3+AJ4+AJ5</f>
        <v/>
      </c>
      <c r="AK6" s="165">
        <f>AK3+AK4+AK5</f>
        <v/>
      </c>
    </row>
    <row r="7" ht="13.5" customHeight="1" s="87"/>
    <row r="8" ht="13.5" customHeight="1" s="87">
      <c r="A8" s="161" t="inlineStr">
        <is>
          <t>EBITDA&gt;=0 (helper)</t>
        </is>
      </c>
      <c r="E8">
        <f>IF(E4&gt;=0,1,0)</f>
        <v/>
      </c>
      <c r="F8">
        <f>IF(F4&gt;=0,1,0)</f>
        <v/>
      </c>
      <c r="G8">
        <f>IF(G4&gt;=0,1,0)</f>
        <v/>
      </c>
      <c r="H8">
        <f>IF(H4&gt;=0,1,0)</f>
        <v/>
      </c>
      <c r="I8">
        <f>IF(I4&gt;=0,1,0)</f>
        <v/>
      </c>
      <c r="J8">
        <f>IF(J4&gt;=0,1,0)</f>
        <v/>
      </c>
      <c r="K8">
        <f>IF(K4&gt;=0,1,0)</f>
        <v/>
      </c>
      <c r="L8">
        <f>IF(L4&gt;=0,1,0)</f>
        <v/>
      </c>
      <c r="M8">
        <f>IF(M4&gt;=0,1,0)</f>
        <v/>
      </c>
      <c r="N8">
        <f>IF(N4&gt;=0,1,0)</f>
        <v/>
      </c>
      <c r="O8">
        <f>IF(O4&gt;=0,1,0)</f>
        <v/>
      </c>
      <c r="P8">
        <f>IF(P4&gt;=0,1,0)</f>
        <v/>
      </c>
      <c r="Q8">
        <f>IF(Q4&gt;=0,1,0)</f>
        <v/>
      </c>
      <c r="R8">
        <f>IF(R4&gt;=0,1,0)</f>
        <v/>
      </c>
      <c r="S8">
        <f>IF(S4&gt;=0,1,0)</f>
        <v/>
      </c>
      <c r="T8">
        <f>IF(T4&gt;=0,1,0)</f>
        <v/>
      </c>
      <c r="U8">
        <f>IF(U4&gt;=0,1,0)</f>
        <v/>
      </c>
      <c r="V8">
        <f>IF(V4&gt;=0,1,0)</f>
        <v/>
      </c>
      <c r="W8">
        <f>IF(W4&gt;=0,1,0)</f>
        <v/>
      </c>
      <c r="X8">
        <f>IF(X4&gt;=0,1,0)</f>
        <v/>
      </c>
      <c r="Y8">
        <f>IF(Y4&gt;=0,1,0)</f>
        <v/>
      </c>
      <c r="Z8">
        <f>IF(Z4&gt;=0,1,0)</f>
        <v/>
      </c>
      <c r="AA8">
        <f>IF(AA4&gt;=0,1,0)</f>
        <v/>
      </c>
      <c r="AB8">
        <f>IF(AB4&gt;=0,1,0)</f>
        <v/>
      </c>
      <c r="AC8">
        <f>IF(AC4&gt;=0,1,0)</f>
        <v/>
      </c>
      <c r="AD8">
        <f>IF(AD4&gt;=0,1,0)</f>
        <v/>
      </c>
      <c r="AE8">
        <f>IF(AE4&gt;=0,1,0)</f>
        <v/>
      </c>
      <c r="AF8">
        <f>IF(AF4&gt;=0,1,0)</f>
        <v/>
      </c>
      <c r="AG8">
        <f>IF(AG4&gt;=0,1,0)</f>
        <v/>
      </c>
      <c r="AH8">
        <f>IF(AH4&gt;=0,1,0)</f>
        <v/>
      </c>
      <c r="AI8">
        <f>IF(AI4&gt;=0,1,0)</f>
        <v/>
      </c>
      <c r="AJ8">
        <f>IF(AJ4&gt;=0,1,0)</f>
        <v/>
      </c>
      <c r="AK8">
        <f>IF(AK4&gt;=0,1,0)</f>
        <v/>
      </c>
    </row>
    <row r="9" ht="13.5" customHeight="1" s="87">
      <c r="A9" s="166" t="inlineStr">
        <is>
          <t>SUMMARY (kluczowe metryki)</t>
        </is>
      </c>
    </row>
    <row r="10" ht="13.5" customHeight="1" s="87">
      <c r="A10" s="164" t="inlineStr">
        <is>
          <t>ARR w M12</t>
        </is>
      </c>
      <c r="B10" s="165">
        <f>'Best_Case_B2B_Revenue_Build'!M9</f>
        <v/>
      </c>
    </row>
    <row r="11" ht="13.5" customHeight="1" s="87">
      <c r="A11" s="164" t="inlineStr">
        <is>
          <t>ARR w M24</t>
        </is>
      </c>
      <c r="B11" s="165">
        <f>'Best_Case_B2B_Revenue_Build'!Y9</f>
        <v/>
      </c>
    </row>
    <row r="12" ht="13.5" customHeight="1" s="87">
      <c r="A12" s="164" t="inlineStr">
        <is>
          <t>ARR w M36</t>
        </is>
      </c>
      <c r="B12" s="165">
        <f>'Best_Case_B2B_Revenue_Build'!AL9</f>
        <v/>
      </c>
    </row>
    <row r="13" ht="13.5" customHeight="1" s="87">
      <c r="A13" s="164" t="inlineStr">
        <is>
          <t>Burn rate (avg M1-6)</t>
        </is>
      </c>
      <c r="B13" s="165">
        <f>-AVERAGE('Proforma_P&amp;L_Monthly'!B7:G7)</f>
        <v/>
      </c>
    </row>
    <row r="14" ht="13.5" customHeight="1" s="87">
      <c r="A14" s="164" t="inlineStr">
        <is>
          <t>Runway (miesiące)</t>
        </is>
      </c>
      <c r="B14" s="165">
        <f>IF(B12&lt;=0,"n/a",START_CASH/B12)</f>
        <v/>
      </c>
    </row>
    <row r="15" ht="13.5" customHeight="1" s="87">
      <c r="A15" s="164" t="inlineStr">
        <is>
          <t>Miesiąc breakeven (EBITDA&gt;=0)</t>
        </is>
      </c>
      <c r="B15" s="165">
        <f>IFERROR(MATCH(1,B8:AL8,0),"n/a")</f>
        <v/>
      </c>
    </row>
    <row r="16" ht="13.5" customHeight="1" s="87"/>
    <row r="17" ht="13.5" customHeight="1" s="87"/>
  </sheetData>
  <mergeCells count="2">
    <mergeCell ref="A1:AL1"/>
    <mergeCell ref="A8:D8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ColWidth="12.625" defaultRowHeight="15" customHeight="1"/>
  <cols>
    <col width="18" customWidth="1" style="5" min="1" max="1"/>
    <col width="18" customWidth="1" style="87" min="2" max="4"/>
    <col width="18" customWidth="1" style="87" min="3" max="3"/>
    <col width="18" customWidth="1" style="87" min="4" max="4"/>
    <col width="8.625" customWidth="1" style="87" min="5" max="6"/>
    <col width="12.625" customWidth="1" style="5" min="7" max="14"/>
  </cols>
  <sheetData>
    <row r="1" ht="13.5" customHeight="1" s="87">
      <c r="A1" s="162" t="inlineStr">
        <is>
          <t>PROFORMA P&amp;L (ROCZNIE – agregacja)</t>
        </is>
      </c>
    </row>
    <row r="2" ht="13.5" customHeight="1" s="87">
      <c r="A2" s="163" t="inlineStr">
        <is>
          <t>Pozycja</t>
        </is>
      </c>
      <c r="B2" s="163" t="inlineStr">
        <is>
          <t>Year 1 (M1-12)</t>
        </is>
      </c>
      <c r="C2" s="163" t="inlineStr">
        <is>
          <t>Year 2 (M13-24)</t>
        </is>
      </c>
      <c r="D2" s="163" t="inlineStr">
        <is>
          <t>Year 3 (M25-36)</t>
        </is>
      </c>
    </row>
    <row r="3" ht="13.5" customHeight="1" s="87">
      <c r="A3" s="164" t="inlineStr">
        <is>
          <t>Revenue</t>
        </is>
      </c>
      <c r="B3" s="165">
        <f>SUM('Proforma_P&amp;L_Monthly'!B3:M3)</f>
        <v/>
      </c>
      <c r="C3" s="165">
        <f>SUM('Proforma_P&amp;L_Monthly'!N3:Y3)</f>
        <v/>
      </c>
      <c r="D3" s="165">
        <f>SUM('Proforma_P&amp;L_Monthly'!Z3:AL3)</f>
        <v/>
      </c>
    </row>
    <row r="4" ht="13.5" customHeight="1" s="87">
      <c r="A4" s="164" t="inlineStr">
        <is>
          <t>COGS</t>
        </is>
      </c>
      <c r="B4" s="165">
        <f>SUM('Proforma_P&amp;L_Monthly'!B4:M4)</f>
        <v/>
      </c>
      <c r="C4" s="165">
        <f>SUM('Proforma_P&amp;L_Monthly'!N4:Y4)</f>
        <v/>
      </c>
      <c r="D4" s="165">
        <f>SUM('Proforma_P&amp;L_Monthly'!Z4:AL4)</f>
        <v/>
      </c>
    </row>
    <row r="5" ht="13.5" customHeight="1" s="87">
      <c r="A5" s="164" t="inlineStr">
        <is>
          <t>Gross Profit</t>
        </is>
      </c>
      <c r="B5" s="165">
        <f>SUM('Proforma_P&amp;L_Monthly'!B5:M5)</f>
        <v/>
      </c>
      <c r="C5" s="165">
        <f>SUM('Proforma_P&amp;L_Monthly'!N5:Y5)</f>
        <v/>
      </c>
      <c r="D5" s="165">
        <f>SUM('Proforma_P&amp;L_Monthly'!Z5:AL5)</f>
        <v/>
      </c>
    </row>
    <row r="6" ht="13.5" customHeight="1" s="87">
      <c r="A6" s="164" t="inlineStr">
        <is>
          <t>OPEX</t>
        </is>
      </c>
      <c r="B6" s="165">
        <f>SUM('Proforma_P&amp;L_Monthly'!B6:M6)</f>
        <v/>
      </c>
      <c r="C6" s="165">
        <f>SUM('Proforma_P&amp;L_Monthly'!N6:Y6)</f>
        <v/>
      </c>
      <c r="D6" s="165">
        <f>SUM('Proforma_P&amp;L_Monthly'!Z6:AL6)</f>
        <v/>
      </c>
    </row>
    <row r="7" ht="13.5" customHeight="1" s="87">
      <c r="A7" s="164" t="inlineStr">
        <is>
          <t>EBITDA</t>
        </is>
      </c>
      <c r="B7" s="165">
        <f>SUM('Proforma_P&amp;L_Monthly'!B7:M7)</f>
        <v/>
      </c>
      <c r="C7" s="165">
        <f>SUM('Proforma_P&amp;L_Monthly'!N7:Y7)</f>
        <v/>
      </c>
      <c r="D7" s="165">
        <f>SUM('Proforma_P&amp;L_Monthly'!Z7:AL7)</f>
        <v/>
      </c>
    </row>
    <row r="8" ht="13.5" customHeight="1" s="87"/>
    <row r="9" ht="13.5" customHeight="1" s="87"/>
    <row r="10" ht="13.5" customHeight="1" s="87"/>
    <row r="11" ht="13.5" customHeight="1" s="87"/>
    <row r="12" ht="13.5" customHeight="1" s="87"/>
    <row r="13" ht="13.5" customHeight="1" s="87"/>
    <row r="14" ht="13.5" customHeight="1" s="87"/>
    <row r="15" ht="13.5" customHeight="1" s="87"/>
    <row r="16" ht="13.5" customHeight="1" s="87"/>
    <row r="17" ht="13.5" customHeight="1" s="87"/>
    <row r="18" ht="13.5" customHeight="1" s="87"/>
    <row r="19" ht="13.5" customHeight="1" s="87"/>
    <row r="20" ht="13.5" customHeight="1" s="87"/>
    <row r="21" ht="13.5" customHeight="1" s="87"/>
    <row r="22" ht="13.5" customHeight="1" s="87"/>
    <row r="23" ht="13.5" customHeight="1" s="87"/>
    <row r="24" ht="13.5" customHeight="1" s="87"/>
    <row r="25" hidden="1" ht="13.5" customHeight="1" s="87"/>
    <row r="26" ht="13.5" customHeight="1" s="87"/>
    <row r="27" ht="13.5" customHeight="1" s="87"/>
    <row r="28" ht="13.5" customHeight="1" s="87"/>
    <row r="29" ht="13.5" customHeight="1" s="87"/>
    <row r="30" ht="13.5" customHeight="1" s="87"/>
    <row r="31" ht="13.5" customHeight="1" s="87"/>
    <row r="32" ht="13.5" customHeight="1" s="87"/>
    <row r="33" ht="13.5" customHeight="1" s="87"/>
    <row r="34" ht="13.5" customHeight="1" s="87"/>
    <row r="35" ht="13.5" customHeight="1" s="87"/>
    <row r="36" ht="13.5" customHeight="1" s="87"/>
    <row r="37" ht="13.5" customHeight="1" s="87"/>
    <row r="38" ht="13.5" customHeight="1" s="87"/>
    <row r="39" ht="13.5" customHeight="1" s="87"/>
    <row r="40" ht="13.5" customHeight="1" s="87"/>
    <row r="41" ht="13.5" customHeight="1" s="87"/>
    <row r="42" ht="13.5" customHeight="1" s="87"/>
    <row r="43" ht="13.5" customHeight="1" s="87"/>
    <row r="44" ht="13.5" customHeight="1" s="87"/>
    <row r="45" ht="13.5" customHeight="1" s="87"/>
    <row r="46" ht="13.5" customHeight="1" s="87"/>
    <row r="47" ht="13.5" customHeight="1" s="87"/>
    <row r="48" ht="13.5" customHeight="1" s="87"/>
    <row r="49" ht="13.5" customHeight="1" s="87"/>
    <row r="50" ht="13.5" customHeight="1" s="87"/>
    <row r="51" ht="13.5" customHeight="1" s="87"/>
    <row r="52" ht="13.5" customHeight="1" s="87"/>
    <row r="53" ht="13.5" customHeight="1" s="87"/>
    <row r="54" ht="13.5" customHeight="1" s="87"/>
    <row r="55" ht="13.5" customHeight="1" s="87"/>
    <row r="56" ht="13.5" customHeight="1" s="87"/>
    <row r="57" ht="13.5" customHeight="1" s="87"/>
    <row r="58" ht="13.5" customHeight="1" s="87"/>
    <row r="59" ht="13.5" customHeight="1" s="87"/>
    <row r="60" ht="13.5" customHeight="1" s="87"/>
    <row r="61" ht="13.5" customHeight="1" s="87"/>
    <row r="62" ht="13.5" customHeight="1" s="87"/>
    <row r="63" ht="13.5" customHeight="1" s="87"/>
    <row r="64" ht="13.5" customHeight="1" s="87"/>
    <row r="65" ht="13.5" customHeight="1" s="87"/>
    <row r="66" ht="13.5" customHeight="1" s="87"/>
    <row r="67" ht="13.5" customHeight="1" s="87"/>
    <row r="68" ht="13.5" customHeight="1" s="87"/>
    <row r="69" ht="13.5" customHeight="1" s="87"/>
    <row r="70" ht="13.5" customHeight="1" s="87"/>
    <row r="71" ht="13.5" customHeight="1" s="87"/>
    <row r="72" ht="13.5" customHeight="1" s="87"/>
    <row r="73" ht="13.5" customHeight="1" s="87"/>
    <row r="74" ht="13.5" customHeight="1" s="87"/>
    <row r="75" ht="13.5" customHeight="1" s="87"/>
    <row r="76" ht="13.5" customHeight="1" s="87"/>
    <row r="77" ht="13.5" customHeight="1" s="87"/>
    <row r="78" ht="13.5" customHeight="1" s="87"/>
    <row r="79" ht="13.5" customHeight="1" s="87"/>
    <row r="80" ht="13.5" customHeight="1" s="87"/>
    <row r="81" ht="13.5" customHeight="1" s="87"/>
    <row r="82" ht="13.5" customHeight="1" s="87"/>
    <row r="83" ht="13.5" customHeight="1" s="87"/>
    <row r="84" ht="13.5" customHeight="1" s="87"/>
    <row r="85" ht="13.5" customHeight="1" s="87"/>
    <row r="86" ht="13.5" customHeight="1" s="87"/>
    <row r="87" ht="13.5" customHeight="1" s="87"/>
    <row r="88" ht="13.5" customHeight="1" s="87"/>
    <row r="89" ht="13.5" customHeight="1" s="87"/>
    <row r="90" ht="13.5" customHeight="1" s="87"/>
    <row r="91" ht="15.75" customHeight="1" s="87"/>
    <row r="92" ht="15.75" customHeight="1" s="87"/>
    <row r="93" ht="15.75" customHeight="1" s="87"/>
    <row r="94" ht="15.75" customHeight="1" s="87"/>
    <row r="95" ht="15.75" customHeight="1" s="87"/>
    <row r="96" ht="15.75" customHeight="1" s="87"/>
    <row r="97" ht="15.75" customHeight="1" s="87"/>
    <row r="98" ht="15.75" customHeight="1" s="87"/>
    <row r="99" ht="15.75" customHeight="1" s="87"/>
    <row r="100" ht="15.75" customHeight="1" s="87"/>
    <row r="101" ht="15.75" customHeight="1" s="87"/>
    <row r="102" ht="15.75" customHeight="1" s="87"/>
    <row r="103" ht="15.75" customHeight="1" s="87"/>
    <row r="104" ht="15.75" customHeight="1" s="87"/>
    <row r="105" ht="15.75" customHeight="1" s="87"/>
    <row r="106" ht="15.75" customHeight="1" s="87"/>
    <row r="107" ht="15.75" customHeight="1" s="87"/>
    <row r="108" ht="13.5" customHeight="1" s="87"/>
    <row r="109" ht="13.5" customHeight="1" s="87"/>
    <row r="110" ht="13.5" customHeight="1" s="87"/>
    <row r="111" ht="13.5" customHeight="1" s="87"/>
    <row r="112" ht="13.5" customHeight="1" s="87"/>
    <row r="113" ht="15.75" customHeight="1" s="87"/>
    <row r="114" ht="15.75" customHeight="1" s="87"/>
    <row r="115" ht="15.75" customHeight="1" s="87"/>
    <row r="116" ht="15.75" customHeight="1" s="87"/>
    <row r="117" ht="15.75" customHeight="1" s="87"/>
    <row r="118" ht="15.75" customHeight="1" s="87"/>
    <row r="119" ht="15.75" customHeight="1" s="87"/>
    <row r="120" ht="15.75" customHeight="1" s="87"/>
    <row r="121" ht="15.75" customHeight="1" s="87"/>
    <row r="122" ht="15.75" customHeight="1" s="87"/>
    <row r="123" ht="15.75" customHeight="1" s="87"/>
    <row r="124" ht="15.75" customHeight="1" s="87"/>
    <row r="125" ht="15.75" customHeight="1" s="87"/>
    <row r="126" ht="15.75" customHeight="1" s="87"/>
    <row r="127" ht="15.75" customHeight="1" s="87"/>
    <row r="128" ht="15.75" customHeight="1" s="87"/>
    <row r="129" ht="15.75" customHeight="1" s="87"/>
    <row r="130" ht="15.75" customHeight="1" s="87"/>
    <row r="131" ht="15.75" customHeight="1" s="87"/>
    <row r="132" ht="15.75" customHeight="1" s="87"/>
    <row r="133" ht="15.75" customHeight="1" s="87"/>
    <row r="134" ht="15.75" customHeight="1" s="87"/>
    <row r="135" ht="15.75" customHeight="1" s="87"/>
    <row r="136" ht="15.75" customHeight="1" s="87"/>
    <row r="137" ht="15.75" customHeight="1" s="87"/>
    <row r="138" ht="15.75" customHeight="1" s="87"/>
    <row r="139" ht="15.75" customHeight="1" s="87"/>
    <row r="140" ht="15.75" customHeight="1" s="87"/>
    <row r="141" ht="15.75" customHeight="1" s="87"/>
    <row r="142" ht="15.75" customHeight="1" s="87"/>
    <row r="143" ht="15.75" customHeight="1" s="87"/>
    <row r="144" ht="15.75" customHeight="1" s="87"/>
    <row r="145" ht="15.75" customHeight="1" s="87"/>
    <row r="146" ht="15.75" customHeight="1" s="87"/>
    <row r="147" ht="15.75" customHeight="1" s="87"/>
    <row r="148" ht="15.75" customHeight="1" s="87"/>
    <row r="149" ht="15.75" customHeight="1" s="87"/>
    <row r="150" ht="15.75" customHeight="1" s="87"/>
    <row r="151" ht="15.75" customHeight="1" s="87"/>
    <row r="152" ht="15.75" customHeight="1" s="87"/>
    <row r="153" ht="15.75" customHeight="1" s="87"/>
    <row r="154" ht="15.75" customHeight="1" s="87"/>
    <row r="155" ht="15.75" customHeight="1" s="87"/>
    <row r="156" ht="15.75" customHeight="1" s="87"/>
    <row r="157" ht="15.75" customHeight="1" s="87"/>
    <row r="158" ht="15.75" customHeight="1" s="87"/>
    <row r="159" ht="15.75" customHeight="1" s="87"/>
    <row r="160" ht="15.75" customHeight="1" s="87"/>
    <row r="161" ht="15.75" customHeight="1" s="87"/>
    <row r="162" ht="15.75" customHeight="1" s="87"/>
    <row r="163" ht="15.75" customHeight="1" s="87"/>
    <row r="164" ht="15.75" customHeight="1" s="87"/>
    <row r="165" ht="15.75" customHeight="1" s="87"/>
    <row r="166" ht="15.75" customHeight="1" s="87"/>
    <row r="167" ht="15.75" customHeight="1" s="87"/>
    <row r="168" ht="15.75" customHeight="1" s="87"/>
    <row r="169" ht="15.75" customHeight="1" s="87"/>
    <row r="170" ht="15.75" customHeight="1" s="87"/>
    <row r="171" ht="15.75" customHeight="1" s="87"/>
    <row r="172" ht="15.75" customHeight="1" s="87"/>
    <row r="173" ht="15.75" customHeight="1" s="87"/>
    <row r="174" ht="15.75" customHeight="1" s="87"/>
    <row r="175" ht="15.75" customHeight="1" s="87"/>
    <row r="176" ht="15.75" customHeight="1" s="87"/>
    <row r="177" ht="15.75" customHeight="1" s="87"/>
    <row r="178" ht="15.75" customHeight="1" s="87"/>
    <row r="179" ht="15.75" customHeight="1" s="87"/>
    <row r="180" ht="15.75" customHeight="1" s="87"/>
    <row r="181" ht="15.75" customHeight="1" s="87"/>
    <row r="182" ht="15.75" customHeight="1" s="87"/>
    <row r="183" ht="15.75" customHeight="1" s="87"/>
    <row r="184" ht="15.75" customHeight="1" s="87"/>
    <row r="185" ht="15.75" customHeight="1" s="87"/>
    <row r="186" ht="15.75" customHeight="1" s="87"/>
    <row r="187" ht="15.75" customHeight="1" s="87"/>
    <row r="188" ht="15.75" customHeight="1" s="87"/>
    <row r="189" ht="15.75" customHeight="1" s="87"/>
    <row r="190" ht="15.75" customHeight="1" s="87"/>
    <row r="191" ht="15.75" customHeight="1" s="87"/>
    <row r="192" ht="15.75" customHeight="1" s="87"/>
    <row r="193" ht="15.75" customHeight="1" s="87"/>
    <row r="194" ht="15.75" customHeight="1" s="87"/>
    <row r="195" ht="15.75" customHeight="1" s="87"/>
    <row r="196" ht="15.75" customHeight="1" s="87"/>
    <row r="197" ht="15.75" customHeight="1" s="87"/>
    <row r="198" ht="15.75" customHeight="1" s="87"/>
    <row r="199" ht="15.75" customHeight="1" s="87"/>
    <row r="200" ht="15.75" customHeight="1" s="87"/>
    <row r="201" ht="15.75" customHeight="1" s="87"/>
    <row r="202" ht="15.75" customHeight="1" s="87"/>
    <row r="203" ht="15.75" customHeight="1" s="87"/>
    <row r="204" ht="15.75" customHeight="1" s="87"/>
    <row r="205" ht="15.75" customHeight="1" s="87"/>
    <row r="206" ht="15.75" customHeight="1" s="87"/>
    <row r="207" ht="15.75" customHeight="1" s="87"/>
    <row r="208" ht="15.75" customHeight="1" s="87"/>
    <row r="209" ht="15.75" customHeight="1" s="87"/>
    <row r="210" ht="15.75" customHeight="1" s="87"/>
    <row r="211" ht="15.75" customHeight="1" s="87"/>
    <row r="212" ht="15.75" customHeight="1" s="87"/>
    <row r="213" ht="15.75" customHeight="1" s="87"/>
    <row r="214" ht="15.75" customHeight="1" s="87"/>
    <row r="215" ht="15.75" customHeight="1" s="87"/>
    <row r="216" ht="15.75" customHeight="1" s="87"/>
    <row r="217" ht="15.75" customHeight="1" s="87"/>
    <row r="218" ht="15.75" customHeight="1" s="87"/>
    <row r="219" ht="15.75" customHeight="1" s="87"/>
    <row r="220" ht="15.75" customHeight="1" s="87"/>
    <row r="221" ht="15.75" customHeight="1" s="87"/>
    <row r="222" ht="15.75" customHeight="1" s="87"/>
    <row r="223" ht="15.75" customHeight="1" s="87"/>
    <row r="224" ht="15.75" customHeight="1" s="87"/>
    <row r="225" ht="15.75" customHeight="1" s="87"/>
    <row r="226" ht="15.75" customHeight="1" s="87"/>
    <row r="227" ht="15.75" customHeight="1" s="87"/>
    <row r="228" ht="15.75" customHeight="1" s="87"/>
    <row r="229" ht="15.75" customHeight="1" s="87"/>
    <row r="230" ht="15.75" customHeight="1" s="87"/>
    <row r="231" ht="15.75" customHeight="1" s="87"/>
    <row r="232" ht="15.75" customHeight="1" s="87"/>
    <row r="233" ht="15.75" customHeight="1" s="87"/>
    <row r="234" ht="15.75" customHeight="1" s="87"/>
    <row r="235" ht="15.75" customHeight="1" s="87"/>
    <row r="236" ht="15.75" customHeight="1" s="87"/>
    <row r="237" ht="15.75" customHeight="1" s="87"/>
    <row r="238" ht="15.75" customHeight="1" s="87"/>
    <row r="239" ht="15.75" customHeight="1" s="87"/>
    <row r="240" ht="15.75" customHeight="1" s="87"/>
    <row r="241" ht="15.75" customHeight="1" s="87"/>
    <row r="242" ht="15.75" customHeight="1" s="87"/>
    <row r="243" ht="15.75" customHeight="1" s="87"/>
    <row r="244" ht="15.75" customHeight="1" s="87"/>
    <row r="245" ht="15.75" customHeight="1" s="87"/>
    <row r="246" ht="15.75" customHeight="1" s="87"/>
    <row r="247" ht="15.75" customHeight="1" s="87"/>
    <row r="248" ht="15.75" customHeight="1" s="87"/>
    <row r="249" ht="15.75" customHeight="1" s="87"/>
    <row r="250" ht="15.75" customHeight="1" s="87"/>
    <row r="251" ht="15.75" customHeight="1" s="87"/>
    <row r="252" ht="15.75" customHeight="1" s="87"/>
    <row r="253" ht="15.75" customHeight="1" s="87"/>
    <row r="254" ht="15.75" customHeight="1" s="87"/>
    <row r="255" ht="15.75" customHeight="1" s="87"/>
    <row r="256" ht="15.75" customHeight="1" s="87"/>
    <row r="257" ht="15.75" customHeight="1" s="87"/>
    <row r="258" ht="15.75" customHeight="1" s="87"/>
    <row r="259" ht="15.75" customHeight="1" s="87"/>
    <row r="260" ht="15.75" customHeight="1" s="87"/>
    <row r="261" ht="15.75" customHeight="1" s="87"/>
    <row r="262" ht="15.75" customHeight="1" s="87"/>
    <row r="263" ht="15.75" customHeight="1" s="87"/>
    <row r="264" ht="15.75" customHeight="1" s="87"/>
    <row r="265" ht="15.75" customHeight="1" s="87"/>
    <row r="266" ht="15.75" customHeight="1" s="87"/>
    <row r="267" ht="15.75" customHeight="1" s="87"/>
    <row r="268" ht="15.75" customHeight="1" s="87"/>
    <row r="269" ht="15.75" customHeight="1" s="87"/>
    <row r="270" ht="15.75" customHeight="1" s="87"/>
    <row r="271" ht="15.75" customHeight="1" s="87"/>
    <row r="272" ht="15.75" customHeight="1" s="87"/>
    <row r="273" ht="15.75" customHeight="1" s="87"/>
    <row r="274" ht="15.75" customHeight="1" s="87"/>
    <row r="275" ht="15.75" customHeight="1" s="87"/>
    <row r="276" ht="15.75" customHeight="1" s="87"/>
    <row r="277" ht="15.75" customHeight="1" s="87"/>
    <row r="278" ht="15.75" customHeight="1" s="87"/>
    <row r="279" ht="15.75" customHeight="1" s="87"/>
    <row r="280" ht="15.75" customHeight="1" s="87"/>
    <row r="281" ht="15.75" customHeight="1" s="87"/>
    <row r="282" ht="15.75" customHeight="1" s="87"/>
    <row r="283" ht="15.75" customHeight="1" s="87"/>
    <row r="284" ht="15.75" customHeight="1" s="87"/>
    <row r="285" ht="15.75" customHeight="1" s="87"/>
    <row r="286" ht="15.75" customHeight="1" s="87"/>
    <row r="287" ht="15.75" customHeight="1" s="87"/>
    <row r="288" ht="15.75" customHeight="1" s="87"/>
    <row r="289" ht="15.75" customHeight="1" s="87"/>
    <row r="290" ht="15.75" customHeight="1" s="87"/>
    <row r="291" ht="15.75" customHeight="1" s="87"/>
    <row r="292" ht="15.75" customHeight="1" s="87"/>
    <row r="293" ht="15.75" customHeight="1" s="87"/>
    <row r="294" ht="15.75" customHeight="1" s="87"/>
    <row r="295" ht="15.75" customHeight="1" s="87"/>
    <row r="296" ht="15.75" customHeight="1" s="87"/>
    <row r="297" ht="15.75" customHeight="1" s="87"/>
    <row r="298" ht="15.75" customHeight="1" s="87"/>
    <row r="299" ht="15.75" customHeight="1" s="87"/>
    <row r="300" ht="15.75" customHeight="1" s="87"/>
    <row r="301" ht="15.75" customHeight="1" s="87"/>
    <row r="302" ht="15.75" customHeight="1" s="87"/>
    <row r="303" ht="15.75" customHeight="1" s="87"/>
    <row r="304" ht="15.75" customHeight="1" s="87"/>
    <row r="305" ht="15.75" customHeight="1" s="87"/>
    <row r="306" ht="15.75" customHeight="1" s="87"/>
    <row r="307" ht="15.75" customHeight="1" s="87"/>
    <row r="308" ht="15.75" customHeight="1" s="87"/>
    <row r="309" ht="15.75" customHeight="1" s="87"/>
    <row r="310" ht="15.75" customHeight="1" s="87"/>
    <row r="311" ht="15.75" customHeight="1" s="87"/>
    <row r="312" ht="15.75" customHeight="1" s="87"/>
    <row r="313" ht="15.75" customHeight="1" s="87"/>
    <row r="314" ht="15.75" customHeight="1" s="87"/>
    <row r="315" ht="15.75" customHeight="1" s="87"/>
    <row r="316" ht="15.75" customHeight="1" s="87"/>
    <row r="317" ht="15.75" customHeight="1" s="87"/>
    <row r="318" ht="15.75" customHeight="1" s="87"/>
    <row r="319" ht="15.75" customHeight="1" s="87"/>
    <row r="320" ht="15.75" customHeight="1" s="87"/>
    <row r="321" ht="15.75" customHeight="1" s="87"/>
    <row r="322" ht="15.75" customHeight="1" s="87"/>
    <row r="323" ht="15.75" customHeight="1" s="87"/>
    <row r="324" ht="15.75" customHeight="1" s="87"/>
    <row r="325" ht="15.75" customHeight="1" s="87"/>
    <row r="326" ht="15.75" customHeight="1" s="87"/>
    <row r="327" ht="15.75" customHeight="1" s="87"/>
    <row r="328" ht="15.75" customHeight="1" s="87"/>
    <row r="329" ht="15.75" customHeight="1" s="87"/>
    <row r="330" ht="15.75" customHeight="1" s="87"/>
    <row r="331" ht="15.75" customHeight="1" s="87"/>
    <row r="332" ht="15.75" customHeight="1" s="87"/>
    <row r="333" ht="15.75" customHeight="1" s="87"/>
    <row r="334" ht="15.75" customHeight="1" s="87"/>
    <row r="335" ht="15.75" customHeight="1" s="87"/>
    <row r="336" ht="15.75" customHeight="1" s="87"/>
    <row r="337" ht="15.75" customHeight="1" s="87"/>
    <row r="338" ht="15.75" customHeight="1" s="87"/>
    <row r="339" ht="15.75" customHeight="1" s="87"/>
    <row r="340" ht="15.75" customHeight="1" s="87"/>
    <row r="341" ht="15.75" customHeight="1" s="87"/>
    <row r="342" ht="15.75" customHeight="1" s="87"/>
    <row r="343" ht="15.75" customHeight="1" s="87"/>
    <row r="344" ht="15.75" customHeight="1" s="87"/>
    <row r="345" ht="15.75" customHeight="1" s="87"/>
    <row r="346" ht="15.75" customHeight="1" s="87"/>
    <row r="347" ht="15.75" customHeight="1" s="87"/>
    <row r="348" ht="15.75" customHeight="1" s="87"/>
    <row r="349" ht="15.75" customHeight="1" s="87"/>
    <row r="350" ht="15.75" customHeight="1" s="87"/>
    <row r="351" ht="15.75" customHeight="1" s="87"/>
    <row r="352" ht="15.75" customHeight="1" s="87"/>
    <row r="353" ht="15.75" customHeight="1" s="87"/>
    <row r="354" ht="15.75" customHeight="1" s="87"/>
    <row r="355" ht="15.75" customHeight="1" s="87"/>
    <row r="356" ht="15.75" customHeight="1" s="87"/>
    <row r="357" ht="15.75" customHeight="1" s="87"/>
    <row r="358" ht="15.75" customHeight="1" s="87"/>
    <row r="359" ht="15.75" customHeight="1" s="87"/>
    <row r="360" ht="15.75" customHeight="1" s="87"/>
    <row r="361" ht="15.75" customHeight="1" s="87"/>
    <row r="362" ht="15.75" customHeight="1" s="87"/>
    <row r="363" ht="15.75" customHeight="1" s="87"/>
    <row r="364" ht="15.75" customHeight="1" s="87"/>
    <row r="365" ht="15.75" customHeight="1" s="87"/>
    <row r="366" ht="15.75" customHeight="1" s="87"/>
    <row r="367" ht="15.75" customHeight="1" s="87"/>
    <row r="368" ht="15.75" customHeight="1" s="87"/>
    <row r="369" ht="15.75" customHeight="1" s="87"/>
    <row r="370" ht="15.75" customHeight="1" s="87"/>
    <row r="371" ht="15.75" customHeight="1" s="87"/>
    <row r="372" ht="15.75" customHeight="1" s="87"/>
    <row r="373" ht="15.75" customHeight="1" s="87"/>
    <row r="374" ht="15.75" customHeight="1" s="87"/>
    <row r="375" ht="15.75" customHeight="1" s="87"/>
    <row r="376" ht="15.75" customHeight="1" s="87"/>
    <row r="377" ht="15.75" customHeight="1" s="87"/>
    <row r="378" ht="15.75" customHeight="1" s="87"/>
    <row r="379" ht="15.75" customHeight="1" s="87"/>
    <row r="380" ht="15.75" customHeight="1" s="87"/>
    <row r="381" ht="15.75" customHeight="1" s="87"/>
    <row r="382" ht="15.75" customHeight="1" s="87"/>
    <row r="383" ht="15.75" customHeight="1" s="87"/>
    <row r="384" ht="15.75" customHeight="1" s="87"/>
    <row r="385" ht="15.75" customHeight="1" s="87"/>
    <row r="386" ht="15.75" customHeight="1" s="87"/>
    <row r="387" ht="15.75" customHeight="1" s="87"/>
    <row r="388" ht="15.75" customHeight="1" s="87"/>
    <row r="389" ht="15.75" customHeight="1" s="87"/>
    <row r="390" ht="15.75" customHeight="1" s="87"/>
    <row r="391" ht="15.75" customHeight="1" s="87"/>
    <row r="392" ht="15.75" customHeight="1" s="87"/>
    <row r="393" ht="15.75" customHeight="1" s="87"/>
    <row r="394" ht="15.75" customHeight="1" s="87"/>
    <row r="395" ht="15.75" customHeight="1" s="87"/>
    <row r="396" ht="15.75" customHeight="1" s="87"/>
    <row r="397" ht="15.75" customHeight="1" s="87"/>
    <row r="398" ht="15.75" customHeight="1" s="87"/>
    <row r="399" ht="15.75" customHeight="1" s="87"/>
    <row r="400" ht="15.75" customHeight="1" s="87"/>
    <row r="401" ht="15.75" customHeight="1" s="87"/>
    <row r="402" ht="15.75" customHeight="1" s="87"/>
    <row r="403" ht="15.75" customHeight="1" s="87"/>
    <row r="404" ht="15.75" customHeight="1" s="87"/>
    <row r="405" ht="15.75" customHeight="1" s="87"/>
    <row r="406" ht="15.75" customHeight="1" s="87"/>
    <row r="407" ht="15.75" customHeight="1" s="87"/>
    <row r="408" ht="15.75" customHeight="1" s="87"/>
    <row r="409" ht="15.75" customHeight="1" s="87"/>
    <row r="410" ht="15.75" customHeight="1" s="87"/>
    <row r="411" ht="15.75" customHeight="1" s="87"/>
    <row r="412" ht="15.75" customHeight="1" s="87"/>
    <row r="413" ht="15.75" customHeight="1" s="87"/>
    <row r="414" ht="15.75" customHeight="1" s="87"/>
    <row r="415" ht="15.75" customHeight="1" s="87"/>
    <row r="416" ht="15.75" customHeight="1" s="87"/>
    <row r="417" ht="15.75" customHeight="1" s="87"/>
    <row r="418" ht="15.75" customHeight="1" s="87"/>
    <row r="419" ht="15.75" customHeight="1" s="87"/>
    <row r="420" ht="15.75" customHeight="1" s="87"/>
    <row r="421" ht="15.75" customHeight="1" s="87"/>
    <row r="422" ht="15.75" customHeight="1" s="87"/>
    <row r="423" ht="15.75" customHeight="1" s="87"/>
    <row r="424" ht="15.75" customHeight="1" s="87"/>
    <row r="425" ht="15.75" customHeight="1" s="87"/>
    <row r="426" ht="15.75" customHeight="1" s="87"/>
    <row r="427" ht="15.75" customHeight="1" s="87"/>
    <row r="428" ht="15.75" customHeight="1" s="87"/>
    <row r="429" ht="15.75" customHeight="1" s="87"/>
    <row r="430" ht="15.75" customHeight="1" s="87"/>
    <row r="431" ht="15.75" customHeight="1" s="87"/>
    <row r="432" ht="15.75" customHeight="1" s="87"/>
    <row r="433" ht="15.75" customHeight="1" s="87"/>
    <row r="434" ht="15.75" customHeight="1" s="87"/>
    <row r="435" ht="15.75" customHeight="1" s="87"/>
    <row r="436" ht="15.75" customHeight="1" s="87"/>
    <row r="437" ht="15.75" customHeight="1" s="87"/>
    <row r="438" ht="15.75" customHeight="1" s="87"/>
    <row r="439" ht="15.75" customHeight="1" s="87"/>
    <row r="440" ht="15.75" customHeight="1" s="87"/>
    <row r="441" ht="15.75" customHeight="1" s="87"/>
    <row r="442" ht="15.75" customHeight="1" s="87"/>
    <row r="443" ht="15.75" customHeight="1" s="87"/>
    <row r="444" ht="15.75" customHeight="1" s="87"/>
    <row r="445" ht="15.75" customHeight="1" s="87"/>
    <row r="446" ht="15.75" customHeight="1" s="87"/>
    <row r="447" ht="15.75" customHeight="1" s="87"/>
    <row r="448" ht="15.75" customHeight="1" s="87"/>
    <row r="449" ht="15.75" customHeight="1" s="87"/>
    <row r="450" ht="15.75" customHeight="1" s="87"/>
    <row r="451" ht="15.75" customHeight="1" s="87"/>
    <row r="452" ht="15.75" customHeight="1" s="87"/>
    <row r="453" ht="15.75" customHeight="1" s="87"/>
    <row r="454" ht="15.75" customHeight="1" s="87"/>
    <row r="455" ht="15.75" customHeight="1" s="87"/>
    <row r="456" ht="15.75" customHeight="1" s="87"/>
    <row r="457" ht="15.75" customHeight="1" s="87"/>
    <row r="458" ht="15.75" customHeight="1" s="87"/>
    <row r="459" ht="15.75" customHeight="1" s="87"/>
    <row r="460" ht="15.75" customHeight="1" s="87"/>
    <row r="461" ht="15.75" customHeight="1" s="87"/>
    <row r="462" ht="15.75" customHeight="1" s="87"/>
    <row r="463" ht="15.75" customHeight="1" s="87"/>
    <row r="464" ht="15.75" customHeight="1" s="87"/>
    <row r="465" ht="15.75" customHeight="1" s="87"/>
    <row r="466" ht="15.75" customHeight="1" s="87"/>
    <row r="467" ht="15.75" customHeight="1" s="87"/>
    <row r="468" ht="15.75" customHeight="1" s="87"/>
    <row r="469" ht="15.75" customHeight="1" s="87"/>
    <row r="470" ht="15.75" customHeight="1" s="87"/>
    <row r="471" ht="15.75" customHeight="1" s="87"/>
    <row r="472" ht="15.75" customHeight="1" s="87"/>
    <row r="473" ht="15.75" customHeight="1" s="87"/>
    <row r="474" ht="15.75" customHeight="1" s="87"/>
    <row r="475" ht="15.75" customHeight="1" s="87"/>
    <row r="476" ht="15.75" customHeight="1" s="87"/>
    <row r="477" ht="15.75" customHeight="1" s="87"/>
    <row r="478" ht="15.75" customHeight="1" s="87"/>
    <row r="479" ht="15.75" customHeight="1" s="87"/>
    <row r="480" ht="15.75" customHeight="1" s="87"/>
    <row r="481" ht="15.75" customHeight="1" s="87"/>
    <row r="482" ht="15.75" customHeight="1" s="87"/>
    <row r="483" ht="15.75" customHeight="1" s="87"/>
    <row r="484" ht="15.75" customHeight="1" s="87"/>
    <row r="485" ht="15.75" customHeight="1" s="87"/>
    <row r="486" ht="15.75" customHeight="1" s="87"/>
    <row r="487" ht="15.75" customHeight="1" s="87"/>
    <row r="488" ht="15.75" customHeight="1" s="87"/>
    <row r="489" ht="15.75" customHeight="1" s="87"/>
    <row r="490" ht="15.75" customHeight="1" s="87"/>
    <row r="491" ht="15.75" customHeight="1" s="87"/>
    <row r="492" ht="15.75" customHeight="1" s="87"/>
    <row r="493" ht="15.75" customHeight="1" s="87"/>
    <row r="494" ht="15.75" customHeight="1" s="87"/>
    <row r="495" ht="15.75" customHeight="1" s="87"/>
    <row r="496" ht="15.75" customHeight="1" s="87"/>
    <row r="497" ht="15.75" customHeight="1" s="87"/>
    <row r="498" ht="15.75" customHeight="1" s="87"/>
    <row r="499" ht="15.75" customHeight="1" s="87"/>
    <row r="500" ht="15.75" customHeight="1" s="87"/>
    <row r="501" ht="15.75" customHeight="1" s="87"/>
    <row r="502" ht="15.75" customHeight="1" s="87"/>
    <row r="503" ht="15.75" customHeight="1" s="87"/>
    <row r="504" ht="15.75" customHeight="1" s="87"/>
    <row r="505" ht="15.75" customHeight="1" s="87"/>
    <row r="506" ht="15.75" customHeight="1" s="87"/>
    <row r="507" ht="15.75" customHeight="1" s="87"/>
    <row r="508" ht="15.75" customHeight="1" s="87"/>
    <row r="509" ht="15.75" customHeight="1" s="87"/>
    <row r="510" ht="15.75" customHeight="1" s="87"/>
    <row r="511" ht="15.75" customHeight="1" s="87"/>
    <row r="512" ht="15.75" customHeight="1" s="87"/>
    <row r="513" ht="15.75" customHeight="1" s="87"/>
    <row r="514" ht="15.75" customHeight="1" s="87"/>
    <row r="515" ht="15.75" customHeight="1" s="87"/>
    <row r="516" ht="15.75" customHeight="1" s="87"/>
    <row r="517" ht="15.75" customHeight="1" s="87"/>
    <row r="518" ht="15.75" customHeight="1" s="87"/>
    <row r="519" ht="15.75" customHeight="1" s="87"/>
    <row r="520" ht="15.75" customHeight="1" s="87"/>
    <row r="521" ht="15.75" customHeight="1" s="87"/>
    <row r="522" ht="15.75" customHeight="1" s="87"/>
    <row r="523" ht="15.75" customHeight="1" s="87"/>
    <row r="524" ht="15.75" customHeight="1" s="87"/>
    <row r="525" ht="15.75" customHeight="1" s="87"/>
    <row r="526" ht="15.75" customHeight="1" s="87"/>
    <row r="527" ht="15.75" customHeight="1" s="87"/>
    <row r="528" ht="15.75" customHeight="1" s="87"/>
    <row r="529" ht="15.75" customHeight="1" s="87"/>
    <row r="530" ht="15.75" customHeight="1" s="87"/>
    <row r="531" ht="15.75" customHeight="1" s="87"/>
    <row r="532" ht="15.75" customHeight="1" s="87"/>
    <row r="533" ht="15.75" customHeight="1" s="87"/>
    <row r="534" ht="15.75" customHeight="1" s="87"/>
    <row r="535" ht="15.75" customHeight="1" s="87"/>
    <row r="536" ht="15.75" customHeight="1" s="87"/>
    <row r="537" ht="15.75" customHeight="1" s="87"/>
    <row r="538" ht="15.75" customHeight="1" s="87"/>
    <row r="539" ht="15.75" customHeight="1" s="87"/>
    <row r="540" ht="15.75" customHeight="1" s="87"/>
    <row r="541" ht="15.75" customHeight="1" s="87"/>
    <row r="542" ht="15.75" customHeight="1" s="87"/>
    <row r="543" ht="15.75" customHeight="1" s="87"/>
    <row r="544" ht="15.75" customHeight="1" s="87"/>
    <row r="545" ht="15.75" customHeight="1" s="87"/>
    <row r="546" ht="15.75" customHeight="1" s="87"/>
    <row r="547" ht="15.75" customHeight="1" s="87"/>
    <row r="548" ht="15.75" customHeight="1" s="87"/>
    <row r="549" ht="15.75" customHeight="1" s="87"/>
    <row r="550" ht="15.75" customHeight="1" s="87"/>
    <row r="551" ht="15.75" customHeight="1" s="87"/>
    <row r="552" ht="15.75" customHeight="1" s="87"/>
    <row r="553" ht="15.75" customHeight="1" s="87"/>
    <row r="554" ht="15.75" customHeight="1" s="87"/>
    <row r="555" ht="15.75" customHeight="1" s="87"/>
    <row r="556" ht="15.75" customHeight="1" s="87"/>
    <row r="557" ht="15.75" customHeight="1" s="87"/>
    <row r="558" ht="15.75" customHeight="1" s="87"/>
    <row r="559" ht="15.75" customHeight="1" s="87"/>
    <row r="560" ht="15.75" customHeight="1" s="87"/>
    <row r="561" ht="15.75" customHeight="1" s="87"/>
    <row r="562" ht="15.75" customHeight="1" s="87"/>
    <row r="563" ht="15.75" customHeight="1" s="87"/>
    <row r="564" ht="15.75" customHeight="1" s="87"/>
    <row r="565" ht="15.75" customHeight="1" s="87"/>
    <row r="566" ht="15.75" customHeight="1" s="87"/>
    <row r="567" ht="15.75" customHeight="1" s="87"/>
    <row r="568" ht="15.75" customHeight="1" s="87"/>
    <row r="569" ht="15.75" customHeight="1" s="87"/>
    <row r="570" ht="15.75" customHeight="1" s="87"/>
    <row r="571" ht="15.75" customHeight="1" s="87"/>
    <row r="572" ht="15.75" customHeight="1" s="87"/>
    <row r="573" ht="15.75" customHeight="1" s="87"/>
    <row r="574" ht="15.75" customHeight="1" s="87"/>
    <row r="575" ht="15.75" customHeight="1" s="87"/>
    <row r="576" ht="15.75" customHeight="1" s="87"/>
    <row r="577" ht="15.75" customHeight="1" s="87"/>
    <row r="578" ht="15.75" customHeight="1" s="87"/>
    <row r="579" ht="15.75" customHeight="1" s="87"/>
    <row r="580" ht="15.75" customHeight="1" s="87"/>
    <row r="581" ht="15.75" customHeight="1" s="87"/>
    <row r="582" ht="15.75" customHeight="1" s="87"/>
    <row r="583" ht="15.75" customHeight="1" s="87"/>
    <row r="584" ht="15.75" customHeight="1" s="87"/>
    <row r="585" ht="15.75" customHeight="1" s="87"/>
    <row r="586" ht="15.75" customHeight="1" s="87"/>
    <row r="587" ht="15.75" customHeight="1" s="87"/>
    <row r="588" ht="15.75" customHeight="1" s="87"/>
    <row r="589" ht="15.75" customHeight="1" s="87"/>
    <row r="590" ht="15.75" customHeight="1" s="87"/>
    <row r="591" ht="15.75" customHeight="1" s="87"/>
    <row r="592" ht="15.75" customHeight="1" s="87"/>
    <row r="593" ht="15.75" customHeight="1" s="87"/>
    <row r="594" ht="15.75" customHeight="1" s="87"/>
    <row r="595" ht="15.75" customHeight="1" s="87"/>
    <row r="596" ht="15.75" customHeight="1" s="87"/>
    <row r="597" ht="15.75" customHeight="1" s="87"/>
    <row r="598" ht="15.75" customHeight="1" s="87"/>
    <row r="599" ht="15.75" customHeight="1" s="87"/>
    <row r="600" ht="15.75" customHeight="1" s="87"/>
    <row r="601" ht="15.75" customHeight="1" s="87"/>
    <row r="602" ht="15.75" customHeight="1" s="87"/>
    <row r="603" ht="15.75" customHeight="1" s="87"/>
    <row r="604" ht="15.75" customHeight="1" s="87"/>
    <row r="605" ht="15.75" customHeight="1" s="87"/>
    <row r="606" ht="15.75" customHeight="1" s="87"/>
    <row r="607" ht="15.75" customHeight="1" s="87"/>
    <row r="608" ht="15.75" customHeight="1" s="87"/>
    <row r="609" ht="15.75" customHeight="1" s="87"/>
    <row r="610" ht="15.75" customHeight="1" s="87"/>
    <row r="611" ht="15.75" customHeight="1" s="87"/>
    <row r="612" ht="15.75" customHeight="1" s="87"/>
    <row r="613" ht="15.75" customHeight="1" s="87"/>
    <row r="614" ht="15.75" customHeight="1" s="87"/>
    <row r="615" ht="15.75" customHeight="1" s="87"/>
    <row r="616" ht="15.75" customHeight="1" s="87"/>
    <row r="617" ht="15.75" customHeight="1" s="87"/>
    <row r="618" ht="15.75" customHeight="1" s="87"/>
    <row r="619" ht="15.75" customHeight="1" s="87"/>
    <row r="620" ht="15.75" customHeight="1" s="87"/>
    <row r="621" ht="15.75" customHeight="1" s="87"/>
    <row r="622" ht="15.75" customHeight="1" s="87"/>
    <row r="623" ht="15.75" customHeight="1" s="87"/>
    <row r="624" ht="15.75" customHeight="1" s="87"/>
    <row r="625" ht="15.75" customHeight="1" s="87"/>
    <row r="626" ht="15.75" customHeight="1" s="87"/>
    <row r="627" ht="15.75" customHeight="1" s="87"/>
    <row r="628" ht="15.75" customHeight="1" s="87"/>
    <row r="629" ht="15.75" customHeight="1" s="87"/>
    <row r="630" ht="15.75" customHeight="1" s="87"/>
    <row r="631" ht="15.75" customHeight="1" s="87"/>
    <row r="632" ht="15.75" customHeight="1" s="87"/>
    <row r="633" ht="15.75" customHeight="1" s="87"/>
    <row r="634" ht="15.75" customHeight="1" s="87"/>
    <row r="635" ht="15.75" customHeight="1" s="87"/>
    <row r="636" ht="15.75" customHeight="1" s="87"/>
    <row r="637" ht="15.75" customHeight="1" s="87"/>
    <row r="638" ht="15.75" customHeight="1" s="87"/>
    <row r="639" ht="15.75" customHeight="1" s="87"/>
    <row r="640" ht="15.75" customHeight="1" s="87"/>
    <row r="641" ht="15.75" customHeight="1" s="87"/>
    <row r="642" ht="15.75" customHeight="1" s="87"/>
    <row r="643" ht="15.75" customHeight="1" s="87"/>
    <row r="644" ht="15.75" customHeight="1" s="87"/>
    <row r="645" ht="15.75" customHeight="1" s="87"/>
    <row r="646" ht="15.75" customHeight="1" s="87"/>
    <row r="647" ht="15.75" customHeight="1" s="87"/>
    <row r="648" ht="15.75" customHeight="1" s="87"/>
    <row r="649" ht="15.75" customHeight="1" s="87"/>
    <row r="650" ht="15.75" customHeight="1" s="87"/>
    <row r="651" ht="15.75" customHeight="1" s="87"/>
    <row r="652" ht="15.75" customHeight="1" s="87"/>
    <row r="653" ht="15.75" customHeight="1" s="87"/>
    <row r="654" ht="15.75" customHeight="1" s="87"/>
    <row r="655" ht="15.75" customHeight="1" s="87"/>
    <row r="656" ht="15.75" customHeight="1" s="87"/>
    <row r="657" ht="15.75" customHeight="1" s="87"/>
    <row r="658" ht="15.75" customHeight="1" s="87"/>
    <row r="659" ht="15.75" customHeight="1" s="87"/>
    <row r="660" ht="15.75" customHeight="1" s="87"/>
    <row r="661" ht="15.75" customHeight="1" s="87"/>
    <row r="662" ht="15.75" customHeight="1" s="87"/>
    <row r="663" ht="15.75" customHeight="1" s="87"/>
    <row r="664" ht="15.75" customHeight="1" s="87"/>
    <row r="665" ht="15.75" customHeight="1" s="87"/>
    <row r="666" ht="15.75" customHeight="1" s="87"/>
    <row r="667" ht="15.75" customHeight="1" s="87"/>
    <row r="668" ht="15.75" customHeight="1" s="87"/>
    <row r="669" ht="15.75" customHeight="1" s="87"/>
    <row r="670" ht="15.75" customHeight="1" s="87"/>
    <row r="671" ht="15.75" customHeight="1" s="87"/>
    <row r="672" ht="15.75" customHeight="1" s="87"/>
    <row r="673" ht="15.75" customHeight="1" s="87"/>
    <row r="674" ht="15.75" customHeight="1" s="87"/>
    <row r="675" ht="15.75" customHeight="1" s="87"/>
    <row r="676" ht="15.75" customHeight="1" s="87"/>
    <row r="677" ht="15.75" customHeight="1" s="87"/>
    <row r="678" ht="15.75" customHeight="1" s="87"/>
    <row r="679" ht="15.75" customHeight="1" s="87"/>
    <row r="680" ht="15.75" customHeight="1" s="87"/>
    <row r="681" ht="15.75" customHeight="1" s="87"/>
    <row r="682" ht="15.75" customHeight="1" s="87"/>
    <row r="683" ht="15.75" customHeight="1" s="87"/>
    <row r="684" ht="15.75" customHeight="1" s="87"/>
    <row r="685" ht="15.75" customHeight="1" s="87"/>
    <row r="686" ht="15.75" customHeight="1" s="87"/>
    <row r="687" ht="15.75" customHeight="1" s="87"/>
    <row r="688" ht="15.75" customHeight="1" s="87"/>
    <row r="689" ht="15.75" customHeight="1" s="87"/>
    <row r="690" ht="15.75" customHeight="1" s="87"/>
    <row r="691" ht="15.75" customHeight="1" s="87"/>
    <row r="692" ht="15.75" customHeight="1" s="87"/>
    <row r="693" ht="15.75" customHeight="1" s="87"/>
    <row r="694" ht="15.75" customHeight="1" s="87"/>
    <row r="695" ht="15.75" customHeight="1" s="87"/>
    <row r="696" ht="15.75" customHeight="1" s="87"/>
    <row r="697" ht="15.75" customHeight="1" s="87"/>
    <row r="698" ht="15.75" customHeight="1" s="87"/>
    <row r="699" ht="15.75" customHeight="1" s="87"/>
    <row r="700" ht="15.75" customHeight="1" s="87"/>
    <row r="701" ht="15.75" customHeight="1" s="87"/>
    <row r="702" ht="15.75" customHeight="1" s="87"/>
    <row r="703" ht="15.75" customHeight="1" s="87"/>
    <row r="704" ht="15.75" customHeight="1" s="87"/>
    <row r="705" ht="15.75" customHeight="1" s="87"/>
    <row r="706" ht="15.75" customHeight="1" s="87"/>
    <row r="707" ht="15.75" customHeight="1" s="87"/>
    <row r="708" ht="15.75" customHeight="1" s="87"/>
    <row r="709" ht="15.75" customHeight="1" s="87"/>
    <row r="710" ht="15.75" customHeight="1" s="87"/>
    <row r="711" ht="15.75" customHeight="1" s="87"/>
    <row r="712" ht="15.75" customHeight="1" s="87"/>
    <row r="713" ht="15.75" customHeight="1" s="87"/>
    <row r="714" ht="15.75" customHeight="1" s="87"/>
    <row r="715" ht="15.75" customHeight="1" s="87"/>
    <row r="716" ht="15.75" customHeight="1" s="87"/>
    <row r="717" ht="15.75" customHeight="1" s="87"/>
    <row r="718" ht="15.75" customHeight="1" s="87"/>
    <row r="719" ht="15.75" customHeight="1" s="87"/>
    <row r="720" ht="15.75" customHeight="1" s="87"/>
    <row r="721" ht="15.75" customHeight="1" s="87"/>
    <row r="722" ht="15.75" customHeight="1" s="87"/>
    <row r="723" ht="15.75" customHeight="1" s="87"/>
    <row r="724" ht="15.75" customHeight="1" s="87"/>
    <row r="725" ht="15.75" customHeight="1" s="87"/>
    <row r="726" ht="15.75" customHeight="1" s="87"/>
    <row r="727" ht="15.75" customHeight="1" s="87"/>
    <row r="728" ht="15.75" customHeight="1" s="87"/>
    <row r="729" ht="15.75" customHeight="1" s="87"/>
    <row r="730" ht="15.75" customHeight="1" s="87"/>
    <row r="731" ht="15.75" customHeight="1" s="87"/>
    <row r="732" ht="15.75" customHeight="1" s="87"/>
    <row r="733" ht="15.75" customHeight="1" s="87"/>
    <row r="734" ht="15.75" customHeight="1" s="87"/>
    <row r="735" ht="15.75" customHeight="1" s="87"/>
    <row r="736" ht="15.75" customHeight="1" s="87"/>
    <row r="737" ht="15.75" customHeight="1" s="87"/>
    <row r="738" ht="15.75" customHeight="1" s="87"/>
    <row r="739" ht="15.75" customHeight="1" s="87"/>
    <row r="740" ht="15.75" customHeight="1" s="87"/>
    <row r="741" ht="15.75" customHeight="1" s="87"/>
    <row r="742" ht="15.75" customHeight="1" s="87"/>
    <row r="743" ht="15.75" customHeight="1" s="87"/>
    <row r="744" ht="15.75" customHeight="1" s="87"/>
    <row r="745" ht="15.75" customHeight="1" s="87"/>
    <row r="746" ht="15.75" customHeight="1" s="87"/>
    <row r="747" ht="15.75" customHeight="1" s="87"/>
    <row r="748" ht="15.75" customHeight="1" s="87"/>
    <row r="749" ht="15.75" customHeight="1" s="87"/>
    <row r="750" ht="15.75" customHeight="1" s="87"/>
    <row r="751" ht="15.75" customHeight="1" s="87"/>
    <row r="752" ht="15.75" customHeight="1" s="87"/>
    <row r="753" ht="15.75" customHeight="1" s="87"/>
    <row r="754" ht="15.75" customHeight="1" s="87"/>
    <row r="755" ht="15.75" customHeight="1" s="87"/>
    <row r="756" ht="15.75" customHeight="1" s="87"/>
    <row r="757" ht="15.75" customHeight="1" s="87"/>
    <row r="758" ht="15.75" customHeight="1" s="87"/>
    <row r="759" ht="15.75" customHeight="1" s="87"/>
    <row r="760" ht="15.75" customHeight="1" s="87"/>
    <row r="761" ht="15.75" customHeight="1" s="87"/>
    <row r="762" ht="15.75" customHeight="1" s="87"/>
    <row r="763" ht="15.75" customHeight="1" s="87"/>
    <row r="764" ht="15.75" customHeight="1" s="87"/>
    <row r="765" ht="15.75" customHeight="1" s="87"/>
    <row r="766" ht="15.75" customHeight="1" s="87"/>
    <row r="767" ht="15.75" customHeight="1" s="87"/>
    <row r="768" ht="15.75" customHeight="1" s="87"/>
    <row r="769" ht="15.75" customHeight="1" s="87"/>
    <row r="770" ht="15.75" customHeight="1" s="87"/>
    <row r="771" ht="15.75" customHeight="1" s="87"/>
    <row r="772" ht="15.75" customHeight="1" s="87"/>
    <row r="773" ht="15.75" customHeight="1" s="87"/>
    <row r="774" ht="15.75" customHeight="1" s="87"/>
    <row r="775" ht="15.75" customHeight="1" s="87"/>
    <row r="776" ht="15.75" customHeight="1" s="87"/>
    <row r="777" ht="15.75" customHeight="1" s="87"/>
    <row r="778" ht="15.75" customHeight="1" s="87"/>
    <row r="779" ht="15.75" customHeight="1" s="87"/>
    <row r="780" ht="15.75" customHeight="1" s="87"/>
    <row r="781" ht="15.75" customHeight="1" s="87"/>
    <row r="782" ht="15.75" customHeight="1" s="87"/>
    <row r="783" ht="15.75" customHeight="1" s="87"/>
    <row r="784" ht="15.75" customHeight="1" s="87"/>
    <row r="785" ht="15.75" customHeight="1" s="87"/>
    <row r="786" ht="15.75" customHeight="1" s="87"/>
    <row r="787" ht="15.75" customHeight="1" s="87"/>
    <row r="788" ht="15.75" customHeight="1" s="87"/>
    <row r="789" ht="15.75" customHeight="1" s="87"/>
    <row r="790" ht="15.75" customHeight="1" s="87"/>
    <row r="791" ht="15.75" customHeight="1" s="87"/>
    <row r="792" ht="15.75" customHeight="1" s="87"/>
    <row r="793" ht="15.75" customHeight="1" s="87"/>
    <row r="794" ht="15.75" customHeight="1" s="87"/>
    <row r="795" ht="15.75" customHeight="1" s="87"/>
    <row r="796" ht="15.75" customHeight="1" s="87"/>
    <row r="797" ht="15.75" customHeight="1" s="87"/>
    <row r="798" ht="15.75" customHeight="1" s="87"/>
    <row r="799" ht="15.75" customHeight="1" s="87"/>
    <row r="800" ht="15.75" customHeight="1" s="87"/>
    <row r="801" ht="15.75" customHeight="1" s="87"/>
    <row r="802" ht="15.75" customHeight="1" s="87"/>
    <row r="803" ht="15.75" customHeight="1" s="87"/>
    <row r="804" ht="15.75" customHeight="1" s="87"/>
    <row r="805" ht="15.75" customHeight="1" s="87"/>
    <row r="806" ht="15.75" customHeight="1" s="87"/>
    <row r="807" ht="15.75" customHeight="1" s="87"/>
    <row r="808" ht="15.75" customHeight="1" s="87"/>
    <row r="809" ht="15.75" customHeight="1" s="87"/>
    <row r="810" ht="15.75" customHeight="1" s="87"/>
    <row r="811" ht="15.75" customHeight="1" s="87"/>
    <row r="812" ht="15.75" customHeight="1" s="87"/>
    <row r="813" ht="15.75" customHeight="1" s="87"/>
    <row r="814" ht="15.75" customHeight="1" s="87"/>
    <row r="815" ht="15.75" customHeight="1" s="87"/>
    <row r="816" ht="15.75" customHeight="1" s="87"/>
    <row r="817" ht="15.75" customHeight="1" s="87"/>
    <row r="818" ht="15.75" customHeight="1" s="87"/>
    <row r="819" ht="15.75" customHeight="1" s="87"/>
    <row r="820" ht="15.75" customHeight="1" s="87"/>
    <row r="821" ht="15.75" customHeight="1" s="87"/>
    <row r="822" ht="15.75" customHeight="1" s="87"/>
    <row r="823" ht="15.75" customHeight="1" s="87"/>
    <row r="824" ht="15.75" customHeight="1" s="87"/>
    <row r="825" ht="15.75" customHeight="1" s="87"/>
    <row r="826" ht="15.75" customHeight="1" s="87"/>
    <row r="827" ht="15.75" customHeight="1" s="87"/>
    <row r="828" ht="15.75" customHeight="1" s="87"/>
    <row r="829" ht="15.75" customHeight="1" s="87"/>
    <row r="830" ht="15.75" customHeight="1" s="87"/>
    <row r="831" ht="15.75" customHeight="1" s="87"/>
    <row r="832" ht="15.75" customHeight="1" s="87"/>
    <row r="833" ht="15.75" customHeight="1" s="87"/>
    <row r="834" ht="15.75" customHeight="1" s="87"/>
    <row r="835" ht="15.75" customHeight="1" s="87"/>
    <row r="836" ht="15.75" customHeight="1" s="87"/>
    <row r="837" ht="15.75" customHeight="1" s="87"/>
    <row r="838" ht="15.75" customHeight="1" s="87"/>
    <row r="839" ht="15.75" customHeight="1" s="87"/>
    <row r="840" ht="15.75" customHeight="1" s="87"/>
    <row r="841" ht="15.75" customHeight="1" s="87"/>
    <row r="842" ht="15.75" customHeight="1" s="87"/>
    <row r="843" ht="15.75" customHeight="1" s="87"/>
    <row r="844" ht="15.75" customHeight="1" s="87"/>
    <row r="845" ht="15.75" customHeight="1" s="87"/>
    <row r="846" ht="15.75" customHeight="1" s="87"/>
    <row r="847" ht="15.75" customHeight="1" s="87"/>
    <row r="848" ht="15.75" customHeight="1" s="87"/>
    <row r="849" ht="15.75" customHeight="1" s="87"/>
    <row r="850" ht="15.75" customHeight="1" s="87"/>
    <row r="851" ht="15.75" customHeight="1" s="87"/>
    <row r="852" ht="15.75" customHeight="1" s="87"/>
    <row r="853" ht="15.75" customHeight="1" s="87"/>
    <row r="854" ht="15.75" customHeight="1" s="87"/>
    <row r="855" ht="15.75" customHeight="1" s="87"/>
    <row r="856" ht="15.75" customHeight="1" s="87"/>
    <row r="857" ht="15.75" customHeight="1" s="87"/>
    <row r="858" ht="15.75" customHeight="1" s="87"/>
    <row r="859" ht="15.75" customHeight="1" s="87"/>
    <row r="860" ht="15.75" customHeight="1" s="87"/>
    <row r="861" ht="15.75" customHeight="1" s="87"/>
    <row r="862" ht="15.75" customHeight="1" s="87"/>
    <row r="863" ht="15.75" customHeight="1" s="87"/>
    <row r="864" ht="15.75" customHeight="1" s="87"/>
    <row r="865" ht="15.75" customHeight="1" s="87"/>
    <row r="866" ht="15.75" customHeight="1" s="87"/>
    <row r="867" ht="15.75" customHeight="1" s="87"/>
    <row r="868" ht="15.75" customHeight="1" s="87"/>
    <row r="869" ht="15.75" customHeight="1" s="87"/>
    <row r="870" ht="15.75" customHeight="1" s="87"/>
    <row r="871" ht="15.75" customHeight="1" s="87"/>
    <row r="872" ht="15.75" customHeight="1" s="87"/>
    <row r="873" ht="15.75" customHeight="1" s="87"/>
    <row r="874" ht="15.75" customHeight="1" s="87"/>
    <row r="875" ht="15.75" customHeight="1" s="87"/>
    <row r="876" ht="15.75" customHeight="1" s="87"/>
    <row r="877" ht="15.75" customHeight="1" s="87"/>
    <row r="878" ht="15.75" customHeight="1" s="87"/>
    <row r="879" ht="15.75" customHeight="1" s="87"/>
    <row r="880" ht="15.75" customHeight="1" s="87"/>
    <row r="881" ht="15.75" customHeight="1" s="87"/>
    <row r="882" ht="15.75" customHeight="1" s="87"/>
    <row r="883" ht="15.75" customHeight="1" s="87"/>
    <row r="884" ht="15.75" customHeight="1" s="87"/>
    <row r="885" ht="15.75" customHeight="1" s="87"/>
    <row r="886" ht="15.75" customHeight="1" s="87"/>
    <row r="887" ht="15.75" customHeight="1" s="87"/>
    <row r="888" ht="15.75" customHeight="1" s="87"/>
    <row r="889" ht="15.75" customHeight="1" s="87"/>
    <row r="890" ht="15.75" customHeight="1" s="87"/>
    <row r="891" ht="15.75" customHeight="1" s="87"/>
    <row r="892" ht="15.75" customHeight="1" s="87"/>
    <row r="893" ht="15.75" customHeight="1" s="87"/>
    <row r="894" ht="15.75" customHeight="1" s="87"/>
    <row r="895" ht="15.75" customHeight="1" s="87"/>
    <row r="896" ht="15.75" customHeight="1" s="87"/>
    <row r="897" ht="15.75" customHeight="1" s="87"/>
    <row r="898" ht="15.75" customHeight="1" s="87"/>
    <row r="899" ht="15.75" customHeight="1" s="87"/>
    <row r="900" ht="15.75" customHeight="1" s="87"/>
    <row r="901" ht="15.75" customHeight="1" s="87"/>
    <row r="902" ht="15.75" customHeight="1" s="87"/>
    <row r="903" ht="15.75" customHeight="1" s="87"/>
    <row r="904" ht="15.75" customHeight="1" s="87"/>
    <row r="905" ht="15.75" customHeight="1" s="87"/>
    <row r="906" ht="15.75" customHeight="1" s="87"/>
    <row r="907" ht="15.75" customHeight="1" s="87"/>
    <row r="908" ht="15.75" customHeight="1" s="87"/>
    <row r="909" ht="15.75" customHeight="1" s="87"/>
    <row r="910" ht="15.75" customHeight="1" s="87"/>
    <row r="911" ht="15.75" customHeight="1" s="87"/>
    <row r="912" ht="15.75" customHeight="1" s="87"/>
    <row r="913" ht="15.75" customHeight="1" s="87"/>
    <row r="914" ht="15.75" customHeight="1" s="87"/>
    <row r="915" ht="15.75" customHeight="1" s="87"/>
    <row r="916" ht="15.75" customHeight="1" s="87"/>
    <row r="917" ht="15.75" customHeight="1" s="87"/>
    <row r="918" ht="15.75" customHeight="1" s="87"/>
    <row r="919" ht="15.75" customHeight="1" s="87"/>
    <row r="920" ht="15.75" customHeight="1" s="87"/>
    <row r="921" ht="15.75" customHeight="1" s="87"/>
    <row r="922" ht="15.75" customHeight="1" s="87"/>
    <row r="923" ht="15.75" customHeight="1" s="87"/>
    <row r="924" ht="15.75" customHeight="1" s="87"/>
    <row r="925" ht="15.75" customHeight="1" s="87"/>
    <row r="926" ht="15.75" customHeight="1" s="87"/>
    <row r="927" ht="15.75" customHeight="1" s="87"/>
    <row r="928" ht="15.75" customHeight="1" s="87"/>
    <row r="929" ht="15.75" customHeight="1" s="87"/>
    <row r="930" ht="15.75" customHeight="1" s="87"/>
    <row r="931" ht="15.75" customHeight="1" s="87"/>
    <row r="932" ht="15.75" customHeight="1" s="87"/>
    <row r="933" ht="15.75" customHeight="1" s="87"/>
    <row r="934" ht="15.75" customHeight="1" s="87"/>
    <row r="935" ht="15.75" customHeight="1" s="87"/>
    <row r="936" ht="15.75" customHeight="1" s="87"/>
    <row r="937" ht="15.75" customHeight="1" s="87"/>
    <row r="938" ht="15.75" customHeight="1" s="87"/>
    <row r="939" ht="15.75" customHeight="1" s="87"/>
    <row r="940" ht="15.75" customHeight="1" s="87"/>
    <row r="941" ht="15.75" customHeight="1" s="87"/>
    <row r="942" ht="15.75" customHeight="1" s="87"/>
    <row r="943" ht="15.75" customHeight="1" s="87"/>
    <row r="944" ht="15.75" customHeight="1" s="87"/>
    <row r="945" ht="15.75" customHeight="1" s="87"/>
    <row r="946" ht="15.75" customHeight="1" s="87"/>
    <row r="947" ht="15.75" customHeight="1" s="87"/>
    <row r="948" ht="15.75" customHeight="1" s="87"/>
    <row r="949" ht="15.75" customHeight="1" s="87"/>
    <row r="950" ht="15.75" customHeight="1" s="87"/>
    <row r="951" ht="15.75" customHeight="1" s="87"/>
    <row r="952" ht="15.75" customHeight="1" s="87"/>
    <row r="953" ht="15.75" customHeight="1" s="87"/>
    <row r="954" ht="15.75" customHeight="1" s="87"/>
    <row r="955" ht="15.75" customHeight="1" s="87"/>
    <row r="956" ht="15.75" customHeight="1" s="87"/>
    <row r="957" ht="15.75" customHeight="1" s="87"/>
    <row r="958" ht="15.75" customHeight="1" s="87"/>
    <row r="959" ht="15.75" customHeight="1" s="87"/>
    <row r="960" ht="15.75" customHeight="1" s="87"/>
    <row r="961" ht="15.75" customHeight="1" s="87"/>
    <row r="962" ht="15.75" customHeight="1" s="87"/>
    <row r="963" ht="15.75" customHeight="1" s="87"/>
    <row r="964" ht="15.75" customHeight="1" s="87"/>
    <row r="965" ht="15.75" customHeight="1" s="87"/>
    <row r="966" ht="15.75" customHeight="1" s="87"/>
    <row r="967" ht="15.75" customHeight="1" s="87"/>
    <row r="968" ht="15.75" customHeight="1" s="87"/>
    <row r="969" ht="15.75" customHeight="1" s="87"/>
    <row r="970" ht="15.75" customHeight="1" s="87"/>
    <row r="971" ht="15.75" customHeight="1" s="87"/>
    <row r="972" ht="15.75" customHeight="1" s="87"/>
    <row r="973" ht="15.75" customHeight="1" s="87"/>
    <row r="974" ht="15.75" customHeight="1" s="87"/>
    <row r="975" ht="15.75" customHeight="1" s="87"/>
    <row r="976" ht="15.75" customHeight="1" s="87"/>
    <row r="977" ht="15.75" customHeight="1" s="87"/>
    <row r="978" ht="15.75" customHeight="1" s="87"/>
    <row r="979" ht="15.75" customHeight="1" s="87"/>
    <row r="980" ht="15.75" customHeight="1" s="87"/>
    <row r="981" ht="15.75" customHeight="1" s="87"/>
    <row r="982" ht="15.75" customHeight="1" s="87"/>
    <row r="983" ht="15.75" customHeight="1" s="87"/>
    <row r="984" ht="15.75" customHeight="1" s="87"/>
    <row r="985" ht="15.75" customHeight="1" s="87"/>
    <row r="986" ht="15.75" customHeight="1" s="87"/>
    <row r="987" ht="15.75" customHeight="1" s="87"/>
    <row r="988" ht="15.75" customHeight="1" s="87"/>
    <row r="989" ht="15.75" customHeight="1" s="87"/>
    <row r="990" ht="15.75" customHeight="1" s="87"/>
    <row r="991" ht="15.75" customHeight="1" s="87"/>
    <row r="992" ht="15.75" customHeight="1" s="87"/>
    <row r="993" ht="15.75" customHeight="1" s="87"/>
    <row r="994" ht="15.75" customHeight="1" s="87"/>
    <row r="995" ht="15.75" customHeight="1" s="87"/>
    <row r="996" ht="15.75" customHeight="1" s="87"/>
    <row r="997" ht="15.75" customHeight="1" s="87"/>
    <row r="998" ht="15.75" customHeight="1" s="87"/>
    <row r="999" ht="15.75" customHeight="1" s="87"/>
    <row r="1000" ht="15.75" customHeight="1" s="87"/>
  </sheetData>
  <mergeCells count="1">
    <mergeCell ref="A1:D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L7"/>
  <sheetViews>
    <sheetView workbookViewId="0">
      <selection activeCell="I7" sqref="I7"/>
    </sheetView>
  </sheetViews>
  <sheetFormatPr baseColWidth="8" defaultColWidth="12.625" defaultRowHeight="15" customHeight="1"/>
  <cols>
    <col width="18" customWidth="1" style="87" min="1" max="1"/>
    <col width="10" customWidth="1" style="87" min="2" max="7"/>
    <col width="10" customWidth="1" style="87" min="3" max="3"/>
    <col width="10" customWidth="1" style="87" min="4" max="4"/>
    <col width="10" customWidth="1" style="87" min="5" max="5"/>
    <col width="10" customWidth="1" style="87" min="6" max="6"/>
    <col width="10" customWidth="1" style="87" min="7" max="7"/>
    <col width="10" customWidth="1" style="87" min="8" max="15"/>
    <col width="10" customWidth="1" style="87" min="9" max="9"/>
    <col width="10" customWidth="1" style="87" min="10" max="10"/>
    <col width="10" customWidth="1" style="87" min="11" max="11"/>
    <col width="10" customWidth="1" style="87" min="12" max="12"/>
    <col width="10" customWidth="1" style="87" min="13" max="13"/>
    <col width="10" customWidth="1" style="87" min="14" max="14"/>
    <col width="10" customWidth="1" style="87" min="15" max="15"/>
    <col width="10" customWidth="1" style="87" min="16" max="24"/>
    <col width="10" customWidth="1" style="87" min="17" max="17"/>
    <col width="10" customWidth="1" style="87" min="18" max="18"/>
    <col width="10" customWidth="1" style="87" min="19" max="19"/>
    <col width="10" customWidth="1" style="87" min="20" max="20"/>
    <col width="10" customWidth="1" style="87" min="21" max="21"/>
    <col width="10" customWidth="1" style="87" min="22" max="22"/>
    <col width="10" customWidth="1" style="87" min="23" max="23"/>
    <col width="10" customWidth="1" style="87" min="24" max="24"/>
    <col width="10" customWidth="1" style="87" min="25" max="32"/>
    <col width="10" customWidth="1" style="87" min="26" max="26"/>
    <col width="10" customWidth="1" style="87" min="27" max="27"/>
    <col width="10" customWidth="1" style="87" min="28" max="28"/>
    <col width="10" customWidth="1" style="87" min="29" max="29"/>
    <col width="10" customWidth="1" style="87" min="30" max="30"/>
    <col width="10" customWidth="1" style="87" min="31" max="31"/>
    <col width="10" customWidth="1" style="87" min="32" max="32"/>
    <col width="10" customWidth="1" style="87" min="33" max="39"/>
    <col width="10" customWidth="1" style="87" min="34" max="34"/>
    <col width="10" customWidth="1" style="87" min="35" max="35"/>
    <col width="10" customWidth="1" style="87" min="36" max="36"/>
    <col width="10" customWidth="1" style="87" min="37" max="37"/>
  </cols>
  <sheetData>
    <row r="1" ht="13.5" customHeight="1" s="87">
      <c r="A1" s="162" t="inlineStr">
        <is>
          <t>PROFORMA P&amp;L (MIESIĘCZNIE)</t>
        </is>
      </c>
    </row>
    <row r="2" ht="13.5" customHeight="1" s="87">
      <c r="A2" s="163" t="inlineStr">
        <is>
          <t>Pozycja</t>
        </is>
      </c>
      <c r="B2" s="163" t="inlineStr">
        <is>
          <t>M1</t>
        </is>
      </c>
      <c r="C2" s="163" t="inlineStr">
        <is>
          <t>M2</t>
        </is>
      </c>
      <c r="D2" s="163" t="inlineStr">
        <is>
          <t>M3</t>
        </is>
      </c>
      <c r="E2" s="163" t="inlineStr">
        <is>
          <t>M4</t>
        </is>
      </c>
      <c r="F2" s="163" t="inlineStr">
        <is>
          <t>M5</t>
        </is>
      </c>
      <c r="G2" s="163" t="inlineStr">
        <is>
          <t>M6</t>
        </is>
      </c>
      <c r="H2" s="163" t="inlineStr">
        <is>
          <t>M7</t>
        </is>
      </c>
      <c r="I2" s="163" t="inlineStr">
        <is>
          <t>M8</t>
        </is>
      </c>
      <c r="J2" s="163" t="inlineStr">
        <is>
          <t>M9</t>
        </is>
      </c>
      <c r="K2" s="163" t="inlineStr">
        <is>
          <t>M10</t>
        </is>
      </c>
      <c r="L2" s="163" t="inlineStr">
        <is>
          <t>M11</t>
        </is>
      </c>
      <c r="M2" s="163" t="inlineStr">
        <is>
          <t>M12</t>
        </is>
      </c>
      <c r="N2" s="163" t="inlineStr">
        <is>
          <t>M13</t>
        </is>
      </c>
      <c r="O2" s="163" t="inlineStr">
        <is>
          <t>M14</t>
        </is>
      </c>
      <c r="P2" s="163" t="inlineStr">
        <is>
          <t>M15</t>
        </is>
      </c>
      <c r="Q2" s="163" t="inlineStr">
        <is>
          <t>M16</t>
        </is>
      </c>
      <c r="R2" s="163" t="inlineStr">
        <is>
          <t>M17</t>
        </is>
      </c>
      <c r="S2" s="163" t="inlineStr">
        <is>
          <t>M18</t>
        </is>
      </c>
      <c r="T2" s="163" t="inlineStr">
        <is>
          <t>M19</t>
        </is>
      </c>
      <c r="U2" s="163" t="inlineStr">
        <is>
          <t>M20</t>
        </is>
      </c>
      <c r="V2" s="163" t="inlineStr">
        <is>
          <t>M21</t>
        </is>
      </c>
      <c r="W2" s="163" t="inlineStr">
        <is>
          <t>M22</t>
        </is>
      </c>
      <c r="X2" s="163" t="inlineStr">
        <is>
          <t>M23</t>
        </is>
      </c>
      <c r="Y2" s="163" t="inlineStr">
        <is>
          <t>M24</t>
        </is>
      </c>
      <c r="Z2" s="163" t="inlineStr">
        <is>
          <t>M25</t>
        </is>
      </c>
      <c r="AA2" s="163" t="inlineStr">
        <is>
          <t>M26</t>
        </is>
      </c>
      <c r="AB2" s="163" t="inlineStr">
        <is>
          <t>M27</t>
        </is>
      </c>
      <c r="AC2" s="163" t="inlineStr">
        <is>
          <t>M28</t>
        </is>
      </c>
      <c r="AD2" s="163" t="inlineStr">
        <is>
          <t>M29</t>
        </is>
      </c>
      <c r="AE2" s="163" t="inlineStr">
        <is>
          <t>M30</t>
        </is>
      </c>
      <c r="AF2" s="163" t="inlineStr">
        <is>
          <t>M31</t>
        </is>
      </c>
      <c r="AG2" s="163" t="inlineStr">
        <is>
          <t>M32</t>
        </is>
      </c>
      <c r="AH2" s="163" t="inlineStr">
        <is>
          <t>M33</t>
        </is>
      </c>
      <c r="AI2" s="163" t="inlineStr">
        <is>
          <t>M34</t>
        </is>
      </c>
      <c r="AJ2" s="163" t="inlineStr">
        <is>
          <t>M35</t>
        </is>
      </c>
      <c r="AK2" s="163" t="inlineStr">
        <is>
          <t>M36</t>
        </is>
      </c>
      <c r="AL2" s="163" t="n"/>
    </row>
    <row r="3" ht="13.5" customHeight="1" s="87">
      <c r="A3" s="164" t="inlineStr">
        <is>
          <t>Revenue</t>
        </is>
      </c>
      <c r="B3" s="165">
        <f>'Best_Case_B2B_Revenue_Build'!B8</f>
        <v/>
      </c>
      <c r="C3" s="165">
        <f>'Best_Case_B2B_Revenue_Build'!C8</f>
        <v/>
      </c>
      <c r="D3" s="165">
        <f>'Best_Case_B2B_Revenue_Build'!D8</f>
        <v/>
      </c>
      <c r="E3" s="165">
        <f>'Best_Case_B2B_Revenue_Build'!E8</f>
        <v/>
      </c>
      <c r="F3" s="165">
        <f>'Best_Case_B2B_Revenue_Build'!F8</f>
        <v/>
      </c>
      <c r="G3" s="165">
        <f>'Best_Case_B2B_Revenue_Build'!G8</f>
        <v/>
      </c>
      <c r="H3" s="165">
        <f>'Best_Case_B2B_Revenue_Build'!H8</f>
        <v/>
      </c>
      <c r="I3" s="165">
        <f>'Best_Case_B2B_Revenue_Build'!I8</f>
        <v/>
      </c>
      <c r="J3" s="165">
        <f>'Best_Case_B2B_Revenue_Build'!J8</f>
        <v/>
      </c>
      <c r="K3" s="165">
        <f>'Best_Case_B2B_Revenue_Build'!K8</f>
        <v/>
      </c>
      <c r="L3" s="165">
        <f>'Best_Case_B2B_Revenue_Build'!L8</f>
        <v/>
      </c>
      <c r="M3" s="165">
        <f>'Best_Case_B2B_Revenue_Build'!M8</f>
        <v/>
      </c>
      <c r="N3" s="165">
        <f>'Best_Case_B2B_Revenue_Build'!N8</f>
        <v/>
      </c>
      <c r="O3" s="165">
        <f>'Best_Case_B2B_Revenue_Build'!O8</f>
        <v/>
      </c>
      <c r="P3" s="165">
        <f>'Best_Case_B2B_Revenue_Build'!P8</f>
        <v/>
      </c>
      <c r="Q3" s="165">
        <f>'Best_Case_B2B_Revenue_Build'!Q8</f>
        <v/>
      </c>
      <c r="R3" s="165">
        <f>'Best_Case_B2B_Revenue_Build'!R8</f>
        <v/>
      </c>
      <c r="S3" s="165">
        <f>'Best_Case_B2B_Revenue_Build'!S8</f>
        <v/>
      </c>
      <c r="T3" s="165">
        <f>'Best_Case_B2B_Revenue_Build'!T8</f>
        <v/>
      </c>
      <c r="U3" s="165">
        <f>'Best_Case_B2B_Revenue_Build'!U8</f>
        <v/>
      </c>
      <c r="V3" s="165">
        <f>'Best_Case_B2B_Revenue_Build'!V8</f>
        <v/>
      </c>
      <c r="W3" s="165">
        <f>'Best_Case_B2B_Revenue_Build'!W8</f>
        <v/>
      </c>
      <c r="X3" s="165">
        <f>'Best_Case_B2B_Revenue_Build'!X8</f>
        <v/>
      </c>
      <c r="Y3" s="165">
        <f>'Best_Case_B2B_Revenue_Build'!Y8</f>
        <v/>
      </c>
      <c r="Z3" s="165">
        <f>'Best_Case_B2B_Revenue_Build'!Z8</f>
        <v/>
      </c>
      <c r="AA3" s="165">
        <f>'Best_Case_B2B_Revenue_Build'!AA8</f>
        <v/>
      </c>
      <c r="AB3" s="165">
        <f>'Best_Case_B2B_Revenue_Build'!AB8</f>
        <v/>
      </c>
      <c r="AC3" s="165">
        <f>'Best_Case_B2B_Revenue_Build'!AC8</f>
        <v/>
      </c>
      <c r="AD3" s="165">
        <f>'Best_Case_B2B_Revenue_Build'!AD8</f>
        <v/>
      </c>
      <c r="AE3" s="165">
        <f>'Best_Case_B2B_Revenue_Build'!AE8</f>
        <v/>
      </c>
      <c r="AF3" s="165">
        <f>'Best_Case_B2B_Revenue_Build'!AF8</f>
        <v/>
      </c>
      <c r="AG3" s="165">
        <f>'Best_Case_B2B_Revenue_Build'!AG8</f>
        <v/>
      </c>
      <c r="AH3" s="165">
        <f>'Best_Case_B2B_Revenue_Build'!AH8</f>
        <v/>
      </c>
      <c r="AI3" s="165">
        <f>'Best_Case_B2B_Revenue_Build'!AI8</f>
        <v/>
      </c>
      <c r="AJ3" s="165">
        <f>'Best_Case_B2B_Revenue_Build'!AJ8</f>
        <v/>
      </c>
      <c r="AK3" s="165">
        <f>'Best_Case_B2B_Revenue_Build'!AK8</f>
        <v/>
      </c>
    </row>
    <row r="4" ht="13.5" customHeight="1" s="87">
      <c r="A4" s="164" t="inlineStr">
        <is>
          <t>COGS</t>
        </is>
      </c>
      <c r="B4" s="165">
        <f>'Cost'!B3</f>
        <v/>
      </c>
      <c r="C4" s="165">
        <f>'Cost'!C3</f>
        <v/>
      </c>
      <c r="D4" s="165">
        <f>'Cost'!D3</f>
        <v/>
      </c>
      <c r="E4" s="165">
        <f>'Cost'!E3</f>
        <v/>
      </c>
      <c r="F4" s="165">
        <f>'Cost'!F3</f>
        <v/>
      </c>
      <c r="G4" s="165">
        <f>'Cost'!G3</f>
        <v/>
      </c>
      <c r="H4" s="165">
        <f>'Cost'!H3</f>
        <v/>
      </c>
      <c r="I4" s="165">
        <f>'Cost'!I3</f>
        <v/>
      </c>
      <c r="J4" s="165">
        <f>'Cost'!J3</f>
        <v/>
      </c>
      <c r="K4" s="165">
        <f>'Cost'!K3</f>
        <v/>
      </c>
      <c r="L4" s="165">
        <f>'Cost'!L3</f>
        <v/>
      </c>
      <c r="M4" s="165">
        <f>'Cost'!M3</f>
        <v/>
      </c>
      <c r="N4" s="165">
        <f>'Cost'!N3</f>
        <v/>
      </c>
      <c r="O4" s="165">
        <f>'Cost'!O3</f>
        <v/>
      </c>
      <c r="P4" s="165">
        <f>'Cost'!P3</f>
        <v/>
      </c>
      <c r="Q4" s="165">
        <f>'Cost'!Q3</f>
        <v/>
      </c>
      <c r="R4" s="165">
        <f>'Cost'!R3</f>
        <v/>
      </c>
      <c r="S4" s="165">
        <f>'Cost'!S3</f>
        <v/>
      </c>
      <c r="T4" s="165">
        <f>'Cost'!T3</f>
        <v/>
      </c>
      <c r="U4" s="165">
        <f>'Cost'!U3</f>
        <v/>
      </c>
      <c r="V4" s="165">
        <f>'Cost'!V3</f>
        <v/>
      </c>
      <c r="W4" s="165">
        <f>'Cost'!W3</f>
        <v/>
      </c>
      <c r="X4" s="165">
        <f>'Cost'!X3</f>
        <v/>
      </c>
      <c r="Y4" s="165">
        <f>'Cost'!Y3</f>
        <v/>
      </c>
      <c r="Z4" s="165">
        <f>'Cost'!Z3</f>
        <v/>
      </c>
      <c r="AA4" s="165">
        <f>'Cost'!AA3</f>
        <v/>
      </c>
      <c r="AB4" s="165">
        <f>'Cost'!AB3</f>
        <v/>
      </c>
      <c r="AC4" s="165">
        <f>'Cost'!AC3</f>
        <v/>
      </c>
      <c r="AD4" s="165">
        <f>'Cost'!AD3</f>
        <v/>
      </c>
      <c r="AE4" s="165">
        <f>'Cost'!AE3</f>
        <v/>
      </c>
      <c r="AF4" s="165">
        <f>'Cost'!AF3</f>
        <v/>
      </c>
      <c r="AG4" s="165">
        <f>'Cost'!AG3</f>
        <v/>
      </c>
      <c r="AH4" s="165">
        <f>'Cost'!AH3</f>
        <v/>
      </c>
      <c r="AI4" s="165">
        <f>'Cost'!AI3</f>
        <v/>
      </c>
      <c r="AJ4" s="165">
        <f>'Cost'!AJ3</f>
        <v/>
      </c>
      <c r="AK4" s="165">
        <f>'Cost'!AK3</f>
        <v/>
      </c>
    </row>
    <row r="5" ht="13.5" customFormat="1" customHeight="1" s="161">
      <c r="A5" s="164" t="inlineStr">
        <is>
          <t>Gross Profit</t>
        </is>
      </c>
      <c r="B5" s="165">
        <f>B3-B4</f>
        <v/>
      </c>
      <c r="C5" s="165">
        <f>C3-C4</f>
        <v/>
      </c>
      <c r="D5" s="165">
        <f>D3-D4</f>
        <v/>
      </c>
      <c r="E5" s="165">
        <f>E3-E4</f>
        <v/>
      </c>
      <c r="F5" s="165">
        <f>F3-F4</f>
        <v/>
      </c>
      <c r="G5" s="165">
        <f>G3-G4</f>
        <v/>
      </c>
      <c r="H5" s="165">
        <f>H3-H4</f>
        <v/>
      </c>
      <c r="I5" s="165">
        <f>I3-I4</f>
        <v/>
      </c>
      <c r="J5" s="165">
        <f>J3-J4</f>
        <v/>
      </c>
      <c r="K5" s="165">
        <f>K3-K4</f>
        <v/>
      </c>
      <c r="L5" s="165">
        <f>L3-L4</f>
        <v/>
      </c>
      <c r="M5" s="165">
        <f>M3-M4</f>
        <v/>
      </c>
      <c r="N5" s="165">
        <f>N3-N4</f>
        <v/>
      </c>
      <c r="O5" s="165">
        <f>O3-O4</f>
        <v/>
      </c>
      <c r="P5" s="165">
        <f>P3-P4</f>
        <v/>
      </c>
      <c r="Q5" s="165">
        <f>Q3-Q4</f>
        <v/>
      </c>
      <c r="R5" s="165">
        <f>R3-R4</f>
        <v/>
      </c>
      <c r="S5" s="165">
        <f>S3-S4</f>
        <v/>
      </c>
      <c r="T5" s="165">
        <f>T3-T4</f>
        <v/>
      </c>
      <c r="U5" s="165">
        <f>U3-U4</f>
        <v/>
      </c>
      <c r="V5" s="165">
        <f>V3-V4</f>
        <v/>
      </c>
      <c r="W5" s="165">
        <f>W3-W4</f>
        <v/>
      </c>
      <c r="X5" s="165">
        <f>X3-X4</f>
        <v/>
      </c>
      <c r="Y5" s="165">
        <f>Y3-Y4</f>
        <v/>
      </c>
      <c r="Z5" s="165">
        <f>Z3-Z4</f>
        <v/>
      </c>
      <c r="AA5" s="165">
        <f>AA3-AA4</f>
        <v/>
      </c>
      <c r="AB5" s="165">
        <f>AB3-AB4</f>
        <v/>
      </c>
      <c r="AC5" s="165">
        <f>AC3-AC4</f>
        <v/>
      </c>
      <c r="AD5" s="165">
        <f>AD3-AD4</f>
        <v/>
      </c>
      <c r="AE5" s="165">
        <f>AE3-AE4</f>
        <v/>
      </c>
      <c r="AF5" s="165">
        <f>AF3-AF4</f>
        <v/>
      </c>
      <c r="AG5" s="165">
        <f>AG3-AG4</f>
        <v/>
      </c>
      <c r="AH5" s="165">
        <f>AH3-AH4</f>
        <v/>
      </c>
      <c r="AI5" s="165">
        <f>AI3-AI4</f>
        <v/>
      </c>
      <c r="AJ5" s="165">
        <f>AJ3-AJ4</f>
        <v/>
      </c>
      <c r="AK5" s="165">
        <f>AK3-AK4</f>
        <v/>
      </c>
    </row>
    <row r="6" ht="13.5" customHeight="1" s="87">
      <c r="A6" s="164" t="inlineStr">
        <is>
          <t>OPEX</t>
        </is>
      </c>
      <c r="B6" s="165">
        <f>'Cost'!B4+'Cost'!B5+'Cost'!B6</f>
        <v/>
      </c>
      <c r="C6" s="165">
        <f>'Cost'!C4+'Cost'!C5+'Cost'!C6</f>
        <v/>
      </c>
      <c r="D6" s="165">
        <f>'Cost'!D4+'Cost'!D5+'Cost'!D6</f>
        <v/>
      </c>
      <c r="E6" s="165">
        <f>'Cost'!E4+'Cost'!E5+'Cost'!E6</f>
        <v/>
      </c>
      <c r="F6" s="165">
        <f>'Cost'!F4+'Cost'!F5+'Cost'!F6</f>
        <v/>
      </c>
      <c r="G6" s="165">
        <f>'Cost'!G4+'Cost'!G5+'Cost'!G6</f>
        <v/>
      </c>
      <c r="H6" s="165">
        <f>'Cost'!H4+'Cost'!H5+'Cost'!H6</f>
        <v/>
      </c>
      <c r="I6" s="165">
        <f>'Cost'!I4+'Cost'!I5+'Cost'!I6</f>
        <v/>
      </c>
      <c r="J6" s="165">
        <f>'Cost'!J4+'Cost'!J5+'Cost'!J6</f>
        <v/>
      </c>
      <c r="K6" s="165">
        <f>'Cost'!K4+'Cost'!K5+'Cost'!K6</f>
        <v/>
      </c>
      <c r="L6" s="165">
        <f>'Cost'!L4+'Cost'!L5+'Cost'!L6</f>
        <v/>
      </c>
      <c r="M6" s="165">
        <f>'Cost'!M4+'Cost'!M5+'Cost'!M6</f>
        <v/>
      </c>
      <c r="N6" s="165">
        <f>'Cost'!N4+'Cost'!N5+'Cost'!N6</f>
        <v/>
      </c>
      <c r="O6" s="165">
        <f>'Cost'!O4+'Cost'!O5+'Cost'!O6</f>
        <v/>
      </c>
      <c r="P6" s="165">
        <f>'Cost'!P4+'Cost'!P5+'Cost'!P6</f>
        <v/>
      </c>
      <c r="Q6" s="165">
        <f>'Cost'!Q4+'Cost'!Q5+'Cost'!Q6</f>
        <v/>
      </c>
      <c r="R6" s="165">
        <f>'Cost'!R4+'Cost'!R5+'Cost'!R6</f>
        <v/>
      </c>
      <c r="S6" s="165">
        <f>'Cost'!S4+'Cost'!S5+'Cost'!S6</f>
        <v/>
      </c>
      <c r="T6" s="165">
        <f>'Cost'!T4+'Cost'!T5+'Cost'!T6</f>
        <v/>
      </c>
      <c r="U6" s="165">
        <f>'Cost'!U4+'Cost'!U5+'Cost'!U6</f>
        <v/>
      </c>
      <c r="V6" s="165">
        <f>'Cost'!V4+'Cost'!V5+'Cost'!V6</f>
        <v/>
      </c>
      <c r="W6" s="165">
        <f>'Cost'!W4+'Cost'!W5+'Cost'!W6</f>
        <v/>
      </c>
      <c r="X6" s="165">
        <f>'Cost'!X4+'Cost'!X5+'Cost'!X6</f>
        <v/>
      </c>
      <c r="Y6" s="165">
        <f>'Cost'!Y4+'Cost'!Y5+'Cost'!Y6</f>
        <v/>
      </c>
      <c r="Z6" s="165">
        <f>'Cost'!Z4+'Cost'!Z5+'Cost'!Z6</f>
        <v/>
      </c>
      <c r="AA6" s="165">
        <f>'Cost'!AA4+'Cost'!AA5+'Cost'!AA6</f>
        <v/>
      </c>
      <c r="AB6" s="165">
        <f>'Cost'!AB4+'Cost'!AB5+'Cost'!AB6</f>
        <v/>
      </c>
      <c r="AC6" s="165">
        <f>'Cost'!AC4+'Cost'!AC5+'Cost'!AC6</f>
        <v/>
      </c>
      <c r="AD6" s="165">
        <f>'Cost'!AD4+'Cost'!AD5+'Cost'!AD6</f>
        <v/>
      </c>
      <c r="AE6" s="165">
        <f>'Cost'!AE4+'Cost'!AE5+'Cost'!AE6</f>
        <v/>
      </c>
      <c r="AF6" s="165">
        <f>'Cost'!AF4+'Cost'!AF5+'Cost'!AF6</f>
        <v/>
      </c>
      <c r="AG6" s="165">
        <f>'Cost'!AG4+'Cost'!AG5+'Cost'!AG6</f>
        <v/>
      </c>
      <c r="AH6" s="165">
        <f>'Cost'!AH4+'Cost'!AH5+'Cost'!AH6</f>
        <v/>
      </c>
      <c r="AI6" s="165">
        <f>'Cost'!AI4+'Cost'!AI5+'Cost'!AI6</f>
        <v/>
      </c>
      <c r="AJ6" s="165">
        <f>'Cost'!AJ4+'Cost'!AJ5+'Cost'!AJ6</f>
        <v/>
      </c>
      <c r="AK6" s="165">
        <f>'Cost'!AK4+'Cost'!AK5+'Cost'!AK6</f>
        <v/>
      </c>
    </row>
    <row r="7" ht="13.5" customHeight="1" s="87">
      <c r="A7" s="164" t="inlineStr">
        <is>
          <t>EBITDA</t>
        </is>
      </c>
      <c r="B7" s="165">
        <f>B5-B6</f>
        <v/>
      </c>
      <c r="C7" s="165">
        <f>C5-C6</f>
        <v/>
      </c>
      <c r="D7" s="165">
        <f>D5-D6</f>
        <v/>
      </c>
      <c r="E7" s="165">
        <f>E5-E6</f>
        <v/>
      </c>
      <c r="F7" s="165">
        <f>F5-F6</f>
        <v/>
      </c>
      <c r="G7" s="165">
        <f>G5-G6</f>
        <v/>
      </c>
      <c r="H7" s="165">
        <f>H5-H6</f>
        <v/>
      </c>
      <c r="I7" s="165">
        <f>I5-I6</f>
        <v/>
      </c>
      <c r="J7" s="165">
        <f>J5-J6</f>
        <v/>
      </c>
      <c r="K7" s="165">
        <f>K5-K6</f>
        <v/>
      </c>
      <c r="L7" s="165">
        <f>L5-L6</f>
        <v/>
      </c>
      <c r="M7" s="165">
        <f>M5-M6</f>
        <v/>
      </c>
      <c r="N7" s="165">
        <f>N5-N6</f>
        <v/>
      </c>
      <c r="O7" s="165">
        <f>O5-O6</f>
        <v/>
      </c>
      <c r="P7" s="165">
        <f>P5-P6</f>
        <v/>
      </c>
      <c r="Q7" s="165">
        <f>Q5-Q6</f>
        <v/>
      </c>
      <c r="R7" s="165">
        <f>R5-R6</f>
        <v/>
      </c>
      <c r="S7" s="165">
        <f>S5-S6</f>
        <v/>
      </c>
      <c r="T7" s="165">
        <f>T5-T6</f>
        <v/>
      </c>
      <c r="U7" s="165">
        <f>U5-U6</f>
        <v/>
      </c>
      <c r="V7" s="165">
        <f>V5-V6</f>
        <v/>
      </c>
      <c r="W7" s="165">
        <f>W5-W6</f>
        <v/>
      </c>
      <c r="X7" s="165">
        <f>X5-X6</f>
        <v/>
      </c>
      <c r="Y7" s="165">
        <f>Y5-Y6</f>
        <v/>
      </c>
      <c r="Z7" s="165">
        <f>Z5-Z6</f>
        <v/>
      </c>
      <c r="AA7" s="165">
        <f>AA5-AA6</f>
        <v/>
      </c>
      <c r="AB7" s="165">
        <f>AB5-AB6</f>
        <v/>
      </c>
      <c r="AC7" s="165">
        <f>AC5-AC6</f>
        <v/>
      </c>
      <c r="AD7" s="165">
        <f>AD5-AD6</f>
        <v/>
      </c>
      <c r="AE7" s="165">
        <f>AE5-AE6</f>
        <v/>
      </c>
      <c r="AF7" s="165">
        <f>AF5-AF6</f>
        <v/>
      </c>
      <c r="AG7" s="165">
        <f>AG5-AG6</f>
        <v/>
      </c>
      <c r="AH7" s="165">
        <f>AH5-AH6</f>
        <v/>
      </c>
      <c r="AI7" s="165">
        <f>AI5-AI6</f>
        <v/>
      </c>
      <c r="AJ7" s="165">
        <f>AJ5-AJ6</f>
        <v/>
      </c>
      <c r="AK7" s="165">
        <f>AK5-AK6</f>
        <v/>
      </c>
    </row>
    <row r="8" ht="13.5" customHeight="1" s="87"/>
    <row r="9" ht="13.5" customHeight="1" s="87"/>
    <row r="10" ht="13.5" customHeight="1" s="87"/>
    <row r="11" ht="13.5" customHeight="1" s="87"/>
    <row r="12" ht="13.5" customHeight="1" s="87"/>
    <row r="13" ht="13.5" customHeight="1" s="87"/>
    <row r="14" ht="13.5" customHeight="1" s="87"/>
    <row r="15" ht="13.5" customHeight="1" s="87"/>
    <row r="16" ht="13.5" customHeight="1" s="87"/>
    <row r="17" ht="13.5" customHeight="1" s="87"/>
    <row r="18" ht="13.5" customHeight="1" s="87"/>
    <row r="19" ht="13.5" customHeight="1" s="87"/>
    <row r="20" ht="13.5" customHeight="1" s="87"/>
    <row r="21" ht="13.5" customHeight="1" s="87"/>
    <row r="22" ht="13.5" customHeight="1" s="87"/>
    <row r="23" ht="13.5" customHeight="1" s="87"/>
    <row r="24" ht="13.5" customHeight="1" s="87"/>
    <row r="25" ht="13.5" customHeight="1" s="87"/>
    <row r="26" ht="13.5" customHeight="1" s="87"/>
    <row r="27" ht="13.5" customHeight="1" s="87"/>
    <row r="28" ht="13.5" customHeight="1" s="87"/>
    <row r="29" ht="13.5" customHeight="1" s="87"/>
    <row r="30" ht="13.5" customHeight="1" s="87"/>
    <row r="31" ht="13.5" customHeight="1" s="87"/>
    <row r="32" ht="13.5" customHeight="1" s="87"/>
    <row r="33" ht="13.5" customHeight="1" s="87"/>
    <row r="34" ht="13.5" customHeight="1" s="87"/>
    <row r="35" ht="13.5" customHeight="1" s="87"/>
    <row r="36" ht="13.5" customHeight="1" s="87"/>
    <row r="37" ht="13.5" customHeight="1" s="87"/>
    <row r="38" ht="13.5" customHeight="1" s="87"/>
    <row r="39" ht="13.5" customHeight="1" s="87"/>
    <row r="40" ht="13.5" customHeight="1" s="87"/>
    <row r="41" ht="13.5" customHeight="1" s="87"/>
    <row r="42" ht="13.5" customHeight="1" s="87"/>
    <row r="43" ht="13.5" customHeight="1" s="87"/>
    <row r="44" ht="13.5" customHeight="1" s="87"/>
    <row r="45" ht="13.5" customHeight="1" s="87"/>
    <row r="46" ht="13.5" customHeight="1" s="87"/>
    <row r="47" ht="13.5" customHeight="1" s="87"/>
    <row r="48" ht="13.5" customHeight="1" s="87"/>
    <row r="49" ht="13.5" customHeight="1" s="87"/>
    <row r="50" ht="13.5" customHeight="1" s="87"/>
    <row r="51" ht="13.5" customHeight="1" s="87"/>
    <row r="52" ht="13.5" customHeight="1" s="87"/>
    <row r="53" ht="13.5" customHeight="1" s="87"/>
    <row r="54" ht="13.5" customHeight="1" s="87"/>
    <row r="55" ht="13.5" customHeight="1" s="87"/>
    <row r="56" ht="13.5" customHeight="1" s="87"/>
    <row r="57" ht="13.5" customHeight="1" s="87"/>
    <row r="58" ht="13.5" customHeight="1" s="87"/>
    <row r="59" ht="13.5" customHeight="1" s="87"/>
    <row r="60" ht="15.75" customHeight="1" s="87"/>
    <row r="61" ht="15.75" customHeight="1" s="87"/>
    <row r="62" ht="15.75" customHeight="1" s="87"/>
    <row r="63" ht="15.75" customHeight="1" s="87"/>
    <row r="64" ht="15.75" customHeight="1" s="87"/>
    <row r="65" ht="15.75" customHeight="1" s="87"/>
    <row r="66" ht="15.75" customHeight="1" s="87"/>
    <row r="67" ht="15.75" customHeight="1" s="87"/>
    <row r="68" ht="15.75" customHeight="1" s="87"/>
    <row r="69" ht="15.75" customHeight="1" s="87"/>
    <row r="70" ht="15.75" customHeight="1" s="87"/>
    <row r="71" ht="15.75" customHeight="1" s="87"/>
    <row r="72" ht="15.75" customHeight="1" s="87"/>
    <row r="73" ht="15.75" customHeight="1" s="87"/>
    <row r="74" ht="15.75" customHeight="1" s="87"/>
    <row r="75" ht="15.75" customHeight="1" s="87"/>
    <row r="76" ht="15.75" customHeight="1" s="87"/>
    <row r="77" ht="15.75" customHeight="1" s="87"/>
    <row r="78" ht="15.75" customHeight="1" s="87"/>
    <row r="79" ht="15.75" customHeight="1" s="87"/>
    <row r="80" ht="15.75" customHeight="1" s="87"/>
    <row r="81" ht="15.75" customHeight="1" s="87"/>
    <row r="82" ht="15.75" customHeight="1" s="87"/>
    <row r="83" ht="15.75" customHeight="1" s="87"/>
    <row r="84" ht="15.75" customHeight="1" s="87"/>
    <row r="85" ht="15.75" customHeight="1" s="87"/>
    <row r="86" ht="15.75" customHeight="1" s="87"/>
    <row r="87" ht="15.75" customHeight="1" s="87"/>
    <row r="88" ht="15.75" customHeight="1" s="87"/>
    <row r="89" ht="15.75" customHeight="1" s="87"/>
    <row r="90" ht="15.75" customHeight="1" s="87"/>
    <row r="91" ht="15.75" customHeight="1" s="87"/>
    <row r="92" ht="15.75" customHeight="1" s="87"/>
    <row r="93" ht="15.75" customHeight="1" s="87"/>
    <row r="94" ht="15.75" customHeight="1" s="87"/>
    <row r="95" ht="15.75" customHeight="1" s="87"/>
    <row r="96" ht="15.75" customHeight="1" s="87"/>
    <row r="97" ht="15.75" customHeight="1" s="87"/>
    <row r="98" ht="15.75" customHeight="1" s="87"/>
    <row r="99" ht="15.75" customHeight="1" s="87"/>
    <row r="100" ht="15.75" customHeight="1" s="87"/>
    <row r="101" ht="15.75" customHeight="1" s="87"/>
    <row r="102" ht="15.75" customHeight="1" s="87"/>
    <row r="103" ht="15.75" customHeight="1" s="87"/>
    <row r="104" ht="15.75" customHeight="1" s="87"/>
    <row r="105" ht="15.75" customHeight="1" s="87"/>
    <row r="106" ht="15.75" customHeight="1" s="87"/>
    <row r="107" ht="15.75" customHeight="1" s="87"/>
    <row r="108" ht="15.75" customHeight="1" s="87"/>
    <row r="109" ht="15.75" customHeight="1" s="87"/>
    <row r="110" ht="15.75" customHeight="1" s="87"/>
    <row r="111" ht="15.75" customHeight="1" s="87"/>
    <row r="112" ht="15.75" customHeight="1" s="87"/>
    <row r="113" ht="15.75" customHeight="1" s="87"/>
    <row r="114" ht="15.75" customHeight="1" s="87"/>
    <row r="115" ht="15.75" customHeight="1" s="87"/>
    <row r="116" ht="15.75" customHeight="1" s="87"/>
    <row r="117" ht="15.75" customHeight="1" s="87"/>
    <row r="118" ht="15.75" customHeight="1" s="87"/>
    <row r="119" ht="15.75" customHeight="1" s="87"/>
    <row r="120" ht="15.75" customHeight="1" s="87"/>
    <row r="121" ht="15.75" customHeight="1" s="87"/>
    <row r="122" ht="15.75" customHeight="1" s="87"/>
    <row r="123" ht="15.75" customHeight="1" s="87"/>
    <row r="124" ht="15.75" customHeight="1" s="87"/>
    <row r="125" ht="15.75" customHeight="1" s="87"/>
    <row r="126" ht="15.75" customHeight="1" s="87"/>
    <row r="127" ht="15.75" customHeight="1" s="87"/>
    <row r="128" ht="15.75" customHeight="1" s="87"/>
    <row r="129" ht="15.75" customHeight="1" s="87"/>
    <row r="130" ht="15.75" customHeight="1" s="87"/>
    <row r="131" ht="15.75" customHeight="1" s="87"/>
    <row r="132" ht="15.75" customHeight="1" s="87"/>
    <row r="133" ht="15.75" customHeight="1" s="87"/>
    <row r="134" ht="15.75" customHeight="1" s="87"/>
    <row r="135" ht="15.75" customHeight="1" s="87"/>
    <row r="136" ht="15.75" customHeight="1" s="87"/>
    <row r="137" ht="15.75" customHeight="1" s="87"/>
    <row r="138" ht="15.75" customHeight="1" s="87"/>
    <row r="139" ht="15.75" customHeight="1" s="87"/>
    <row r="140" ht="15.75" customHeight="1" s="87"/>
    <row r="141" ht="15.75" customHeight="1" s="87"/>
    <row r="142" ht="15.75" customHeight="1" s="87"/>
    <row r="143" ht="15.75" customHeight="1" s="87"/>
    <row r="144" ht="15.75" customHeight="1" s="87"/>
    <row r="145" ht="15.75" customHeight="1" s="87"/>
    <row r="146" ht="15.75" customHeight="1" s="87"/>
    <row r="147" ht="15.75" customHeight="1" s="87"/>
    <row r="148" ht="15.75" customHeight="1" s="87"/>
    <row r="149" ht="15.75" customHeight="1" s="87"/>
    <row r="150" ht="15.75" customHeight="1" s="87"/>
    <row r="151" ht="15.75" customHeight="1" s="87"/>
    <row r="152" ht="15.75" customHeight="1" s="87"/>
    <row r="153" ht="15.75" customHeight="1" s="87"/>
    <row r="154" ht="15.75" customHeight="1" s="87"/>
    <row r="155" ht="15.75" customHeight="1" s="87"/>
    <row r="156" ht="15.75" customHeight="1" s="87"/>
    <row r="157" ht="15.75" customHeight="1" s="87"/>
    <row r="158" ht="15.75" customHeight="1" s="87"/>
    <row r="159" ht="15.75" customHeight="1" s="87"/>
    <row r="160" ht="15.75" customHeight="1" s="87"/>
    <row r="161" ht="15.75" customHeight="1" s="87"/>
    <row r="162" ht="15.75" customHeight="1" s="87"/>
    <row r="163" ht="15.75" customHeight="1" s="87"/>
    <row r="164" ht="15.75" customHeight="1" s="87"/>
    <row r="165" ht="15.75" customHeight="1" s="87"/>
    <row r="166" ht="15.75" customHeight="1" s="87"/>
    <row r="167" ht="15.75" customHeight="1" s="87"/>
    <row r="168" ht="15.75" customHeight="1" s="87"/>
    <row r="169" ht="15.75" customHeight="1" s="87"/>
    <row r="170" ht="15.75" customHeight="1" s="87"/>
    <row r="171" ht="15.75" customHeight="1" s="87"/>
    <row r="172" ht="15.75" customHeight="1" s="87"/>
    <row r="173" ht="15.75" customHeight="1" s="87"/>
    <row r="174" ht="15.75" customHeight="1" s="87"/>
    <row r="175" ht="15.75" customHeight="1" s="87"/>
    <row r="176" ht="15.75" customHeight="1" s="87"/>
    <row r="177" ht="15.75" customHeight="1" s="87"/>
    <row r="178" ht="15.75" customHeight="1" s="87"/>
    <row r="179" ht="15.75" customHeight="1" s="87"/>
    <row r="180" ht="15.75" customHeight="1" s="87"/>
    <row r="181" ht="15.75" customHeight="1" s="87"/>
    <row r="182" ht="15.75" customHeight="1" s="87"/>
    <row r="183" ht="15.75" customHeight="1" s="87"/>
    <row r="184" ht="15.75" customHeight="1" s="87"/>
    <row r="185" ht="15.75" customHeight="1" s="87"/>
    <row r="186" ht="15.75" customHeight="1" s="87"/>
    <row r="187" ht="15.75" customHeight="1" s="87"/>
    <row r="188" ht="15.75" customHeight="1" s="87"/>
    <row r="189" ht="15.75" customHeight="1" s="87"/>
    <row r="190" ht="15.75" customHeight="1" s="87"/>
    <row r="191" ht="15.75" customHeight="1" s="87"/>
    <row r="192" ht="15.75" customHeight="1" s="87"/>
    <row r="193" ht="15.75" customHeight="1" s="87"/>
    <row r="194" ht="15.75" customHeight="1" s="87"/>
    <row r="195" ht="15.75" customHeight="1" s="87"/>
    <row r="196" ht="15.75" customHeight="1" s="87"/>
    <row r="197" ht="15.75" customHeight="1" s="87"/>
    <row r="198" ht="15.75" customHeight="1" s="87"/>
    <row r="199" ht="15.75" customHeight="1" s="87"/>
    <row r="200" ht="15.75" customHeight="1" s="87"/>
    <row r="201" ht="15.75" customHeight="1" s="87"/>
    <row r="202" ht="15.75" customHeight="1" s="87"/>
    <row r="203" ht="15.75" customHeight="1" s="87"/>
    <row r="204" ht="15.75" customHeight="1" s="87"/>
    <row r="205" ht="15.75" customHeight="1" s="87"/>
    <row r="206" ht="15.75" customHeight="1" s="87"/>
    <row r="207" ht="15.75" customHeight="1" s="87"/>
    <row r="208" ht="15.75" customHeight="1" s="87"/>
    <row r="209" ht="15.75" customHeight="1" s="87"/>
    <row r="210" ht="15.75" customHeight="1" s="87"/>
    <row r="211" ht="15.75" customHeight="1" s="87"/>
    <row r="212" ht="15.75" customHeight="1" s="87"/>
    <row r="213" ht="15.75" customHeight="1" s="87"/>
    <row r="214" ht="15.75" customHeight="1" s="87"/>
    <row r="215" ht="15.75" customHeight="1" s="87"/>
    <row r="216" ht="15.75" customHeight="1" s="87"/>
    <row r="217" ht="15.75" customHeight="1" s="87"/>
    <row r="218" ht="15.75" customHeight="1" s="87"/>
    <row r="219" ht="15.75" customHeight="1" s="87"/>
    <row r="220" ht="15.75" customHeight="1" s="87"/>
    <row r="221" ht="15.75" customHeight="1" s="87"/>
    <row r="222" ht="15.75" customHeight="1" s="87"/>
    <row r="223" ht="15.75" customHeight="1" s="87"/>
    <row r="224" ht="15.75" customHeight="1" s="87"/>
    <row r="225" ht="15.75" customHeight="1" s="87"/>
    <row r="226" ht="15.75" customHeight="1" s="87"/>
    <row r="227" ht="15.75" customHeight="1" s="87"/>
    <row r="228" ht="15.75" customHeight="1" s="87"/>
    <row r="229" ht="15.75" customHeight="1" s="87"/>
    <row r="230" ht="15.75" customHeight="1" s="87"/>
    <row r="231" ht="15.75" customHeight="1" s="87"/>
    <row r="232" ht="15.75" customHeight="1" s="87"/>
    <row r="233" ht="15.75" customHeight="1" s="87"/>
    <row r="234" ht="15.75" customHeight="1" s="87"/>
    <row r="235" ht="15.75" customHeight="1" s="87"/>
    <row r="236" ht="15.75" customHeight="1" s="87"/>
    <row r="237" ht="15.75" customHeight="1" s="87"/>
    <row r="238" ht="15.75" customHeight="1" s="87"/>
    <row r="239" ht="15.75" customHeight="1" s="87"/>
    <row r="240" ht="15.75" customHeight="1" s="87"/>
    <row r="241" ht="15.75" customHeight="1" s="87"/>
    <row r="242" ht="15.75" customHeight="1" s="87"/>
    <row r="243" ht="15.75" customHeight="1" s="87"/>
    <row r="244" ht="15.75" customHeight="1" s="87"/>
    <row r="245" ht="15.75" customHeight="1" s="87"/>
    <row r="246" ht="15.75" customHeight="1" s="87"/>
    <row r="247" ht="15.75" customHeight="1" s="87"/>
    <row r="248" ht="15.75" customHeight="1" s="87"/>
    <row r="249" ht="15.75" customHeight="1" s="87"/>
    <row r="250" ht="15.75" customHeight="1" s="87"/>
    <row r="251" ht="15.75" customHeight="1" s="87"/>
    <row r="252" ht="15.75" customHeight="1" s="87"/>
    <row r="253" ht="15.75" customHeight="1" s="87"/>
    <row r="254" ht="15.75" customHeight="1" s="87"/>
    <row r="255" ht="15.75" customHeight="1" s="87"/>
    <row r="256" ht="15.75" customHeight="1" s="87"/>
    <row r="257" ht="15.75" customHeight="1" s="87"/>
    <row r="258" ht="15.75" customHeight="1" s="87"/>
    <row r="259" ht="15.75" customHeight="1" s="87"/>
    <row r="260" ht="15.75" customHeight="1" s="87"/>
    <row r="261" ht="15.75" customHeight="1" s="87"/>
    <row r="262" ht="15.75" customHeight="1" s="87"/>
    <row r="263" ht="15.75" customHeight="1" s="87"/>
    <row r="264" ht="15.75" customHeight="1" s="87"/>
    <row r="265" ht="15.75" customHeight="1" s="87"/>
    <row r="266" ht="15.75" customHeight="1" s="87"/>
    <row r="267" ht="15.75" customHeight="1" s="87"/>
    <row r="268" ht="15.75" customHeight="1" s="87"/>
    <row r="269" ht="15.75" customHeight="1" s="87"/>
    <row r="270" ht="15.75" customHeight="1" s="87"/>
    <row r="271" ht="15.75" customHeight="1" s="87"/>
    <row r="272" ht="15.75" customHeight="1" s="87"/>
    <row r="273" ht="15.75" customHeight="1" s="87"/>
    <row r="274" ht="15.75" customHeight="1" s="87"/>
    <row r="275" ht="15.75" customHeight="1" s="87"/>
    <row r="276" ht="15.75" customHeight="1" s="87"/>
    <row r="277" ht="15.75" customHeight="1" s="87"/>
    <row r="278" ht="15.75" customHeight="1" s="87"/>
    <row r="279" ht="15.75" customHeight="1" s="87"/>
    <row r="280" ht="15.75" customHeight="1" s="87"/>
    <row r="281" ht="15.75" customHeight="1" s="87"/>
    <row r="282" ht="15.75" customHeight="1" s="87"/>
    <row r="283" ht="15.75" customHeight="1" s="87"/>
    <row r="284" ht="15.75" customHeight="1" s="87"/>
    <row r="285" ht="15.75" customHeight="1" s="87"/>
    <row r="286" ht="15.75" customHeight="1" s="87"/>
    <row r="287" ht="15.75" customHeight="1" s="87"/>
    <row r="288" ht="15.75" customHeight="1" s="87"/>
    <row r="289" ht="15.75" customHeight="1" s="87"/>
    <row r="290" ht="15.75" customHeight="1" s="87"/>
    <row r="291" ht="15.75" customHeight="1" s="87"/>
    <row r="292" ht="15.75" customHeight="1" s="87"/>
    <row r="293" ht="15.75" customHeight="1" s="87"/>
    <row r="294" ht="15.75" customHeight="1" s="87"/>
    <row r="295" ht="15.75" customHeight="1" s="87"/>
    <row r="296" ht="15.75" customHeight="1" s="87"/>
    <row r="297" ht="15.75" customHeight="1" s="87"/>
    <row r="298" ht="15.75" customHeight="1" s="87"/>
    <row r="299" ht="15.75" customHeight="1" s="87"/>
    <row r="300" ht="15.75" customHeight="1" s="87"/>
    <row r="301" ht="15.75" customHeight="1" s="87"/>
    <row r="302" ht="15.75" customHeight="1" s="87"/>
    <row r="303" ht="15.75" customHeight="1" s="87"/>
    <row r="304" ht="15.75" customHeight="1" s="87"/>
    <row r="305" ht="15.75" customHeight="1" s="87"/>
    <row r="306" ht="15.75" customHeight="1" s="87"/>
    <row r="307" ht="15.75" customHeight="1" s="87"/>
    <row r="308" ht="15.75" customHeight="1" s="87"/>
    <row r="309" ht="15.75" customHeight="1" s="87"/>
    <row r="310" ht="15.75" customHeight="1" s="87"/>
    <row r="311" ht="15.75" customHeight="1" s="87"/>
    <row r="312" ht="15.75" customHeight="1" s="87"/>
    <row r="313" ht="15.75" customHeight="1" s="87"/>
    <row r="314" ht="15.75" customHeight="1" s="87"/>
    <row r="315" ht="15.75" customHeight="1" s="87"/>
    <row r="316" ht="15.75" customHeight="1" s="87"/>
    <row r="317" ht="15.75" customHeight="1" s="87"/>
    <row r="318" ht="15.75" customHeight="1" s="87"/>
    <row r="319" ht="15.75" customHeight="1" s="87"/>
    <row r="320" ht="15.75" customHeight="1" s="87"/>
    <row r="321" ht="15.75" customHeight="1" s="87"/>
    <row r="322" ht="15.75" customHeight="1" s="87"/>
    <row r="323" ht="15.75" customHeight="1" s="87"/>
    <row r="324" ht="15.75" customHeight="1" s="87"/>
    <row r="325" ht="15.75" customHeight="1" s="87"/>
    <row r="326" ht="15.75" customHeight="1" s="87"/>
    <row r="327" ht="15.75" customHeight="1" s="87"/>
    <row r="328" ht="15.75" customHeight="1" s="87"/>
    <row r="329" ht="15.75" customHeight="1" s="87"/>
    <row r="330" ht="15.75" customHeight="1" s="87"/>
    <row r="331" ht="15.75" customHeight="1" s="87"/>
    <row r="332" ht="15.75" customHeight="1" s="87"/>
    <row r="333" ht="15.75" customHeight="1" s="87"/>
    <row r="334" ht="15.75" customHeight="1" s="87"/>
    <row r="335" ht="15.75" customHeight="1" s="87"/>
    <row r="336" ht="15.75" customHeight="1" s="87"/>
    <row r="337" ht="15.75" customHeight="1" s="87"/>
    <row r="338" ht="15.75" customHeight="1" s="87"/>
    <row r="339" ht="15.75" customHeight="1" s="87"/>
    <row r="340" ht="15.75" customHeight="1" s="87"/>
    <row r="341" ht="15.75" customHeight="1" s="87"/>
    <row r="342" ht="15.75" customHeight="1" s="87"/>
    <row r="343" ht="15.75" customHeight="1" s="87"/>
    <row r="344" ht="15.75" customHeight="1" s="87"/>
    <row r="345" ht="15.75" customHeight="1" s="87"/>
    <row r="346" ht="15.75" customHeight="1" s="87"/>
    <row r="347" ht="15.75" customHeight="1" s="87"/>
    <row r="348" ht="15.75" customHeight="1" s="87"/>
    <row r="349" ht="15.75" customHeight="1" s="87"/>
    <row r="350" ht="15.75" customHeight="1" s="87"/>
    <row r="351" ht="15.75" customHeight="1" s="87"/>
    <row r="352" ht="15.75" customHeight="1" s="87"/>
    <row r="353" ht="15.75" customHeight="1" s="87"/>
    <row r="354" ht="15.75" customHeight="1" s="87"/>
    <row r="355" ht="15.75" customHeight="1" s="87"/>
    <row r="356" ht="15.75" customHeight="1" s="87"/>
    <row r="357" ht="15.75" customHeight="1" s="87"/>
    <row r="358" ht="15.75" customHeight="1" s="87"/>
    <row r="359" ht="15.75" customHeight="1" s="87"/>
    <row r="360" ht="15.75" customHeight="1" s="87"/>
    <row r="361" ht="15.75" customHeight="1" s="87"/>
    <row r="362" ht="15.75" customHeight="1" s="87"/>
    <row r="363" ht="15.75" customHeight="1" s="87"/>
    <row r="364" ht="15.75" customHeight="1" s="87"/>
    <row r="365" ht="15.75" customHeight="1" s="87"/>
    <row r="366" ht="15.75" customHeight="1" s="87"/>
    <row r="367" ht="15.75" customHeight="1" s="87"/>
    <row r="368" ht="15.75" customHeight="1" s="87"/>
    <row r="369" ht="15.75" customHeight="1" s="87"/>
    <row r="370" ht="15.75" customHeight="1" s="87"/>
    <row r="371" ht="15.75" customHeight="1" s="87"/>
    <row r="372" ht="15.75" customHeight="1" s="87"/>
    <row r="373" ht="15.75" customHeight="1" s="87"/>
    <row r="374" ht="15.75" customHeight="1" s="87"/>
    <row r="375" ht="15.75" customHeight="1" s="87"/>
    <row r="376" ht="15.75" customHeight="1" s="87"/>
    <row r="377" ht="15.75" customHeight="1" s="87"/>
    <row r="378" ht="15.75" customHeight="1" s="87"/>
    <row r="379" ht="15.75" customHeight="1" s="87"/>
    <row r="380" ht="15.75" customHeight="1" s="87"/>
    <row r="381" ht="15.75" customHeight="1" s="87"/>
    <row r="382" ht="15.75" customHeight="1" s="87"/>
    <row r="383" ht="15.75" customHeight="1" s="87"/>
    <row r="384" ht="15.75" customHeight="1" s="87"/>
    <row r="385" ht="15.75" customHeight="1" s="87"/>
    <row r="386" ht="15.75" customHeight="1" s="87"/>
    <row r="387" ht="15.75" customHeight="1" s="87"/>
    <row r="388" ht="15.75" customHeight="1" s="87"/>
    <row r="389" ht="15.75" customHeight="1" s="87"/>
    <row r="390" ht="15.75" customHeight="1" s="87"/>
    <row r="391" ht="15.75" customHeight="1" s="87"/>
    <row r="392" ht="15.75" customHeight="1" s="87"/>
    <row r="393" ht="15.75" customHeight="1" s="87"/>
    <row r="394" ht="15.75" customHeight="1" s="87"/>
    <row r="395" ht="15.75" customHeight="1" s="87"/>
    <row r="396" ht="15.75" customHeight="1" s="87"/>
    <row r="397" ht="15.75" customHeight="1" s="87"/>
    <row r="398" ht="15.75" customHeight="1" s="87"/>
    <row r="399" ht="15.75" customHeight="1" s="87"/>
    <row r="400" ht="15.75" customHeight="1" s="87"/>
    <row r="401" ht="15.75" customHeight="1" s="87"/>
    <row r="402" ht="15.75" customHeight="1" s="87"/>
    <row r="403" ht="15.75" customHeight="1" s="87"/>
    <row r="404" ht="15.75" customHeight="1" s="87"/>
    <row r="405" ht="15.75" customHeight="1" s="87"/>
    <row r="406" ht="15.75" customHeight="1" s="87"/>
    <row r="407" ht="15.75" customHeight="1" s="87"/>
    <row r="408" ht="15.75" customHeight="1" s="87"/>
    <row r="409" ht="15.75" customHeight="1" s="87"/>
    <row r="410" ht="15.75" customHeight="1" s="87"/>
    <row r="411" ht="15.75" customHeight="1" s="87"/>
    <row r="412" ht="15.75" customHeight="1" s="87"/>
    <row r="413" ht="15.75" customHeight="1" s="87"/>
    <row r="414" ht="15.75" customHeight="1" s="87"/>
    <row r="415" ht="15.75" customHeight="1" s="87"/>
    <row r="416" ht="15.75" customHeight="1" s="87"/>
    <row r="417" ht="15.75" customHeight="1" s="87"/>
    <row r="418" ht="15.75" customHeight="1" s="87"/>
    <row r="419" ht="15.75" customHeight="1" s="87"/>
    <row r="420" ht="15.75" customHeight="1" s="87"/>
    <row r="421" ht="15.75" customHeight="1" s="87"/>
    <row r="422" ht="15.75" customHeight="1" s="87"/>
    <row r="423" ht="15.75" customHeight="1" s="87"/>
    <row r="424" ht="15.75" customHeight="1" s="87"/>
    <row r="425" ht="15.75" customHeight="1" s="87"/>
    <row r="426" ht="15.75" customHeight="1" s="87"/>
    <row r="427" ht="15.75" customHeight="1" s="87"/>
    <row r="428" ht="15.75" customHeight="1" s="87"/>
    <row r="429" ht="15.75" customHeight="1" s="87"/>
    <row r="430" ht="15.75" customHeight="1" s="87"/>
    <row r="431" ht="15.75" customHeight="1" s="87"/>
    <row r="432" ht="15.75" customHeight="1" s="87"/>
    <row r="433" ht="15.75" customHeight="1" s="87"/>
    <row r="434" ht="15.75" customHeight="1" s="87"/>
    <row r="435" ht="15.75" customHeight="1" s="87"/>
    <row r="436" ht="15.75" customHeight="1" s="87"/>
    <row r="437" ht="15.75" customHeight="1" s="87"/>
    <row r="438" ht="15.75" customHeight="1" s="87"/>
    <row r="439" ht="15.75" customHeight="1" s="87"/>
    <row r="440" ht="15.75" customHeight="1" s="87"/>
    <row r="441" ht="15.75" customHeight="1" s="87"/>
    <row r="442" ht="15.75" customHeight="1" s="87"/>
    <row r="443" ht="15.75" customHeight="1" s="87"/>
    <row r="444" ht="15.75" customHeight="1" s="87"/>
    <row r="445" ht="15.75" customHeight="1" s="87"/>
    <row r="446" ht="15.75" customHeight="1" s="87"/>
    <row r="447" ht="15.75" customHeight="1" s="87"/>
    <row r="448" ht="15.75" customHeight="1" s="87"/>
    <row r="449" ht="15.75" customHeight="1" s="87"/>
    <row r="450" ht="15.75" customHeight="1" s="87"/>
    <row r="451" ht="15.75" customHeight="1" s="87"/>
    <row r="452" ht="15.75" customHeight="1" s="87"/>
    <row r="453" ht="15.75" customHeight="1" s="87"/>
    <row r="454" ht="15.75" customHeight="1" s="87"/>
    <row r="455" ht="15.75" customHeight="1" s="87"/>
    <row r="456" ht="15.75" customHeight="1" s="87"/>
    <row r="457" ht="15.75" customHeight="1" s="87"/>
    <row r="458" ht="15.75" customHeight="1" s="87"/>
    <row r="459" ht="15.75" customHeight="1" s="87"/>
    <row r="460" ht="15.75" customHeight="1" s="87"/>
    <row r="461" ht="15.75" customHeight="1" s="87"/>
    <row r="462" ht="15.75" customHeight="1" s="87"/>
    <row r="463" ht="15.75" customHeight="1" s="87"/>
    <row r="464" ht="15.75" customHeight="1" s="87"/>
    <row r="465" ht="15.75" customHeight="1" s="87"/>
    <row r="466" ht="15.75" customHeight="1" s="87"/>
    <row r="467" ht="15.75" customHeight="1" s="87"/>
    <row r="468" ht="15.75" customHeight="1" s="87"/>
    <row r="469" ht="15.75" customHeight="1" s="87"/>
    <row r="470" ht="15.75" customHeight="1" s="87"/>
    <row r="471" ht="15.75" customHeight="1" s="87"/>
    <row r="472" ht="15.75" customHeight="1" s="87"/>
    <row r="473" ht="15.75" customHeight="1" s="87"/>
    <row r="474" ht="15.75" customHeight="1" s="87"/>
    <row r="475" ht="15.75" customHeight="1" s="87"/>
    <row r="476" ht="15.75" customHeight="1" s="87"/>
    <row r="477" ht="15.75" customHeight="1" s="87"/>
    <row r="478" ht="15.75" customHeight="1" s="87"/>
    <row r="479" ht="15.75" customHeight="1" s="87"/>
    <row r="480" ht="15.75" customHeight="1" s="87"/>
    <row r="481" ht="15.75" customHeight="1" s="87"/>
    <row r="482" ht="15.75" customHeight="1" s="87"/>
    <row r="483" ht="15.75" customHeight="1" s="87"/>
    <row r="484" ht="15.75" customHeight="1" s="87"/>
    <row r="485" ht="15.75" customHeight="1" s="87"/>
    <row r="486" ht="15.75" customHeight="1" s="87"/>
    <row r="487" ht="15.75" customHeight="1" s="87"/>
    <row r="488" ht="15.75" customHeight="1" s="87"/>
    <row r="489" ht="15.75" customHeight="1" s="87"/>
    <row r="490" ht="15.75" customHeight="1" s="87"/>
    <row r="491" ht="15.75" customHeight="1" s="87"/>
    <row r="492" ht="15.75" customHeight="1" s="87"/>
    <row r="493" ht="15.75" customHeight="1" s="87"/>
    <row r="494" ht="15.75" customHeight="1" s="87"/>
    <row r="495" ht="15.75" customHeight="1" s="87"/>
    <row r="496" ht="15.75" customHeight="1" s="87"/>
    <row r="497" ht="15.75" customHeight="1" s="87"/>
    <row r="498" ht="15.75" customHeight="1" s="87"/>
    <row r="499" ht="15.75" customHeight="1" s="87"/>
    <row r="500" ht="15.75" customHeight="1" s="87"/>
    <row r="501" ht="15.75" customHeight="1" s="87"/>
    <row r="502" ht="15.75" customHeight="1" s="87"/>
    <row r="503" ht="15.75" customHeight="1" s="87"/>
    <row r="504" ht="15.75" customHeight="1" s="87"/>
    <row r="505" ht="15.75" customHeight="1" s="87"/>
    <row r="506" ht="15.75" customHeight="1" s="87"/>
    <row r="507" ht="15.75" customHeight="1" s="87"/>
    <row r="508" ht="15.75" customHeight="1" s="87"/>
    <row r="509" ht="15.75" customHeight="1" s="87"/>
    <row r="510" ht="15.75" customHeight="1" s="87"/>
    <row r="511" ht="15.75" customHeight="1" s="87"/>
    <row r="512" ht="15.75" customHeight="1" s="87"/>
    <row r="513" ht="15.75" customHeight="1" s="87"/>
    <row r="514" ht="15.75" customHeight="1" s="87"/>
    <row r="515" ht="15.75" customHeight="1" s="87"/>
    <row r="516" ht="15.75" customHeight="1" s="87"/>
    <row r="517" ht="15.75" customHeight="1" s="87"/>
    <row r="518" ht="15.75" customHeight="1" s="87"/>
    <row r="519" ht="15.75" customHeight="1" s="87"/>
    <row r="520" ht="15.75" customHeight="1" s="87"/>
    <row r="521" ht="15.75" customHeight="1" s="87"/>
    <row r="522" ht="15.75" customHeight="1" s="87"/>
    <row r="523" ht="15.75" customHeight="1" s="87"/>
    <row r="524" ht="15.75" customHeight="1" s="87"/>
    <row r="525" ht="15.75" customHeight="1" s="87"/>
    <row r="526" ht="15.75" customHeight="1" s="87"/>
    <row r="527" ht="15.75" customHeight="1" s="87"/>
    <row r="528" ht="15.75" customHeight="1" s="87"/>
    <row r="529" ht="15.75" customHeight="1" s="87"/>
    <row r="530" ht="15.75" customHeight="1" s="87"/>
    <row r="531" ht="15.75" customHeight="1" s="87"/>
    <row r="532" ht="15.75" customHeight="1" s="87"/>
    <row r="533" ht="15.75" customHeight="1" s="87"/>
    <row r="534" ht="15.75" customHeight="1" s="87"/>
    <row r="535" ht="15.75" customHeight="1" s="87"/>
    <row r="536" ht="15.75" customHeight="1" s="87"/>
    <row r="537" ht="15.75" customHeight="1" s="87"/>
    <row r="538" ht="15.75" customHeight="1" s="87"/>
    <row r="539" ht="15.75" customHeight="1" s="87"/>
    <row r="540" ht="15.75" customHeight="1" s="87"/>
    <row r="541" ht="15.75" customHeight="1" s="87"/>
    <row r="542" ht="15.75" customHeight="1" s="87"/>
    <row r="543" ht="15.75" customHeight="1" s="87"/>
    <row r="544" ht="15.75" customHeight="1" s="87"/>
    <row r="545" ht="15.75" customHeight="1" s="87"/>
    <row r="546" ht="15.75" customHeight="1" s="87"/>
    <row r="547" ht="15.75" customHeight="1" s="87"/>
    <row r="548" ht="15.75" customHeight="1" s="87"/>
    <row r="549" ht="15.75" customHeight="1" s="87"/>
    <row r="550" ht="15.75" customHeight="1" s="87"/>
    <row r="551" ht="15.75" customHeight="1" s="87"/>
    <row r="552" ht="15.75" customHeight="1" s="87"/>
    <row r="553" ht="15.75" customHeight="1" s="87"/>
    <row r="554" ht="15.75" customHeight="1" s="87"/>
    <row r="555" ht="15.75" customHeight="1" s="87"/>
    <row r="556" ht="15.75" customHeight="1" s="87"/>
    <row r="557" ht="15.75" customHeight="1" s="87"/>
    <row r="558" ht="15.75" customHeight="1" s="87"/>
    <row r="559" ht="15.75" customHeight="1" s="87"/>
    <row r="560" ht="15.75" customHeight="1" s="87"/>
    <row r="561" ht="15.75" customHeight="1" s="87"/>
    <row r="562" ht="15.75" customHeight="1" s="87"/>
    <row r="563" ht="15.75" customHeight="1" s="87"/>
    <row r="564" ht="15.75" customHeight="1" s="87"/>
    <row r="565" ht="15.75" customHeight="1" s="87"/>
    <row r="566" ht="15.75" customHeight="1" s="87"/>
    <row r="567" ht="15.75" customHeight="1" s="87"/>
    <row r="568" ht="15.75" customHeight="1" s="87"/>
    <row r="569" ht="15.75" customHeight="1" s="87"/>
    <row r="570" ht="15.75" customHeight="1" s="87"/>
    <row r="571" ht="15.75" customHeight="1" s="87"/>
    <row r="572" ht="15.75" customHeight="1" s="87"/>
    <row r="573" ht="15.75" customHeight="1" s="87"/>
    <row r="574" ht="15.75" customHeight="1" s="87"/>
    <row r="575" ht="15.75" customHeight="1" s="87"/>
    <row r="576" ht="15.75" customHeight="1" s="87"/>
    <row r="577" ht="15.75" customHeight="1" s="87"/>
    <row r="578" ht="15.75" customHeight="1" s="87"/>
    <row r="579" ht="15.75" customHeight="1" s="87"/>
    <row r="580" ht="15.75" customHeight="1" s="87"/>
    <row r="581" ht="15.75" customHeight="1" s="87"/>
    <row r="582" ht="15.75" customHeight="1" s="87"/>
    <row r="583" ht="15.75" customHeight="1" s="87"/>
    <row r="584" ht="15.75" customHeight="1" s="87"/>
    <row r="585" ht="15.75" customHeight="1" s="87"/>
    <row r="586" ht="15.75" customHeight="1" s="87"/>
    <row r="587" ht="15.75" customHeight="1" s="87"/>
    <row r="588" ht="15.75" customHeight="1" s="87"/>
    <row r="589" ht="15.75" customHeight="1" s="87"/>
    <row r="590" ht="15.75" customHeight="1" s="87"/>
    <row r="591" ht="15.75" customHeight="1" s="87"/>
    <row r="592" ht="15.75" customHeight="1" s="87"/>
    <row r="593" ht="15.75" customHeight="1" s="87"/>
    <row r="594" ht="15.75" customHeight="1" s="87"/>
    <row r="595" ht="15.75" customHeight="1" s="87"/>
    <row r="596" ht="15.75" customHeight="1" s="87"/>
    <row r="597" ht="15.75" customHeight="1" s="87"/>
    <row r="598" ht="15.75" customHeight="1" s="87"/>
    <row r="599" ht="15.75" customHeight="1" s="87"/>
    <row r="600" ht="15.75" customHeight="1" s="87"/>
    <row r="601" ht="15.75" customHeight="1" s="87"/>
    <row r="602" ht="15.75" customHeight="1" s="87"/>
    <row r="603" ht="15.75" customHeight="1" s="87"/>
    <row r="604" ht="15.75" customHeight="1" s="87"/>
    <row r="605" ht="15.75" customHeight="1" s="87"/>
    <row r="606" ht="15.75" customHeight="1" s="87"/>
    <row r="607" ht="15.75" customHeight="1" s="87"/>
    <row r="608" ht="15.75" customHeight="1" s="87"/>
    <row r="609" ht="15.75" customHeight="1" s="87"/>
    <row r="610" ht="15.75" customHeight="1" s="87"/>
    <row r="611" ht="15.75" customHeight="1" s="87"/>
    <row r="612" ht="15.75" customHeight="1" s="87"/>
    <row r="613" ht="15.75" customHeight="1" s="87"/>
    <row r="614" ht="15.75" customHeight="1" s="87"/>
    <row r="615" ht="15.75" customHeight="1" s="87"/>
    <row r="616" ht="15.75" customHeight="1" s="87"/>
    <row r="617" ht="15.75" customHeight="1" s="87"/>
    <row r="618" ht="15.75" customHeight="1" s="87"/>
    <row r="619" ht="15.75" customHeight="1" s="87"/>
    <row r="620" ht="15.75" customHeight="1" s="87"/>
    <row r="621" ht="15.75" customHeight="1" s="87"/>
    <row r="622" ht="15.75" customHeight="1" s="87"/>
    <row r="623" ht="15.75" customHeight="1" s="87"/>
    <row r="624" ht="15.75" customHeight="1" s="87"/>
    <row r="625" ht="15.75" customHeight="1" s="87"/>
    <row r="626" ht="15.75" customHeight="1" s="87"/>
    <row r="627" ht="15.75" customHeight="1" s="87"/>
    <row r="628" ht="15.75" customHeight="1" s="87"/>
    <row r="629" ht="15.75" customHeight="1" s="87"/>
    <row r="630" ht="15.75" customHeight="1" s="87"/>
    <row r="631" ht="15.75" customHeight="1" s="87"/>
    <row r="632" ht="15.75" customHeight="1" s="87"/>
    <row r="633" ht="15.75" customHeight="1" s="87"/>
    <row r="634" ht="15.75" customHeight="1" s="87"/>
    <row r="635" ht="15.75" customHeight="1" s="87"/>
    <row r="636" ht="15.75" customHeight="1" s="87"/>
    <row r="637" ht="15.75" customHeight="1" s="87"/>
    <row r="638" ht="15.75" customHeight="1" s="87"/>
    <row r="639" ht="15.75" customHeight="1" s="87"/>
    <row r="640" ht="15.75" customHeight="1" s="87"/>
    <row r="641" ht="15.75" customHeight="1" s="87"/>
    <row r="642" ht="15.75" customHeight="1" s="87"/>
    <row r="643" ht="15.75" customHeight="1" s="87"/>
    <row r="644" ht="15.75" customHeight="1" s="87"/>
    <row r="645" ht="15.75" customHeight="1" s="87"/>
    <row r="646" ht="15.75" customHeight="1" s="87"/>
    <row r="647" ht="15.75" customHeight="1" s="87"/>
    <row r="648" ht="15.75" customHeight="1" s="87"/>
    <row r="649" ht="15.75" customHeight="1" s="87"/>
    <row r="650" ht="15.75" customHeight="1" s="87"/>
    <row r="651" ht="15.75" customHeight="1" s="87"/>
    <row r="652" ht="15.75" customHeight="1" s="87"/>
    <row r="653" ht="15.75" customHeight="1" s="87"/>
    <row r="654" ht="15.75" customHeight="1" s="87"/>
    <row r="655" ht="15.75" customHeight="1" s="87"/>
    <row r="656" ht="15.75" customHeight="1" s="87"/>
    <row r="657" ht="15.75" customHeight="1" s="87"/>
    <row r="658" ht="15.75" customHeight="1" s="87"/>
    <row r="659" ht="15.75" customHeight="1" s="87"/>
    <row r="660" ht="15.75" customHeight="1" s="87"/>
    <row r="661" ht="15.75" customHeight="1" s="87"/>
    <row r="662" ht="15.75" customHeight="1" s="87"/>
    <row r="663" ht="15.75" customHeight="1" s="87"/>
    <row r="664" ht="15.75" customHeight="1" s="87"/>
    <row r="665" ht="15.75" customHeight="1" s="87"/>
    <row r="666" ht="15.75" customHeight="1" s="87"/>
    <row r="667" ht="15.75" customHeight="1" s="87"/>
    <row r="668" ht="15.75" customHeight="1" s="87"/>
    <row r="669" ht="15.75" customHeight="1" s="87"/>
    <row r="670" ht="15.75" customHeight="1" s="87"/>
    <row r="671" ht="15.75" customHeight="1" s="87"/>
    <row r="672" ht="15.75" customHeight="1" s="87"/>
    <row r="673" ht="15.75" customHeight="1" s="87"/>
    <row r="674" ht="15.75" customHeight="1" s="87"/>
    <row r="675" ht="15.75" customHeight="1" s="87"/>
    <row r="676" ht="15.75" customHeight="1" s="87"/>
    <row r="677" ht="15.75" customHeight="1" s="87"/>
    <row r="678" ht="15.75" customHeight="1" s="87"/>
    <row r="679" ht="15.75" customHeight="1" s="87"/>
    <row r="680" ht="15.75" customHeight="1" s="87"/>
    <row r="681" ht="15.75" customHeight="1" s="87"/>
    <row r="682" ht="15.75" customHeight="1" s="87"/>
    <row r="683" ht="15.75" customHeight="1" s="87"/>
    <row r="684" ht="15.75" customHeight="1" s="87"/>
    <row r="685" ht="15.75" customHeight="1" s="87"/>
    <row r="686" ht="15.75" customHeight="1" s="87"/>
    <row r="687" ht="15.75" customHeight="1" s="87"/>
    <row r="688" ht="15.75" customHeight="1" s="87"/>
    <row r="689" ht="15.75" customHeight="1" s="87"/>
    <row r="690" ht="15.75" customHeight="1" s="87"/>
    <row r="691" ht="15.75" customHeight="1" s="87"/>
    <row r="692" ht="15.75" customHeight="1" s="87"/>
    <row r="693" ht="15.75" customHeight="1" s="87"/>
    <row r="694" ht="15.75" customHeight="1" s="87"/>
    <row r="695" ht="15.75" customHeight="1" s="87"/>
    <row r="696" ht="15.75" customHeight="1" s="87"/>
    <row r="697" ht="15.75" customHeight="1" s="87"/>
    <row r="698" ht="15.75" customHeight="1" s="87"/>
    <row r="699" ht="15.75" customHeight="1" s="87"/>
    <row r="700" ht="15.75" customHeight="1" s="87"/>
    <row r="701" ht="15.75" customHeight="1" s="87"/>
    <row r="702" ht="15.75" customHeight="1" s="87"/>
    <row r="703" ht="15.75" customHeight="1" s="87"/>
    <row r="704" ht="15.75" customHeight="1" s="87"/>
    <row r="705" ht="15.75" customHeight="1" s="87"/>
    <row r="706" ht="15.75" customHeight="1" s="87"/>
    <row r="707" ht="15.75" customHeight="1" s="87"/>
    <row r="708" ht="15.75" customHeight="1" s="87"/>
    <row r="709" ht="15.75" customHeight="1" s="87"/>
    <row r="710" ht="15.75" customHeight="1" s="87"/>
    <row r="711" ht="15.75" customHeight="1" s="87"/>
    <row r="712" ht="15.75" customHeight="1" s="87"/>
    <row r="713" ht="15.75" customHeight="1" s="87"/>
    <row r="714" ht="15.75" customHeight="1" s="87"/>
    <row r="715" ht="15.75" customHeight="1" s="87"/>
    <row r="716" ht="15.75" customHeight="1" s="87"/>
    <row r="717" ht="15.75" customHeight="1" s="87"/>
    <row r="718" ht="15.75" customHeight="1" s="87"/>
    <row r="719" ht="15.75" customHeight="1" s="87"/>
    <row r="720" ht="15.75" customHeight="1" s="87"/>
    <row r="721" ht="15.75" customHeight="1" s="87"/>
    <row r="722" ht="15.75" customHeight="1" s="87"/>
    <row r="723" ht="15.75" customHeight="1" s="87"/>
    <row r="724" ht="15.75" customHeight="1" s="87"/>
    <row r="725" ht="15.75" customHeight="1" s="87"/>
    <row r="726" ht="15.75" customHeight="1" s="87"/>
    <row r="727" ht="15.75" customHeight="1" s="87"/>
    <row r="728" ht="15.75" customHeight="1" s="87"/>
    <row r="729" ht="15.75" customHeight="1" s="87"/>
    <row r="730" ht="15.75" customHeight="1" s="87"/>
    <row r="731" ht="15.75" customHeight="1" s="87"/>
    <row r="732" ht="15.75" customHeight="1" s="87"/>
    <row r="733" ht="15.75" customHeight="1" s="87"/>
    <row r="734" ht="15.75" customHeight="1" s="87"/>
    <row r="735" ht="15.75" customHeight="1" s="87"/>
    <row r="736" ht="15.75" customHeight="1" s="87"/>
    <row r="737" ht="15.75" customHeight="1" s="87"/>
    <row r="738" ht="15.75" customHeight="1" s="87"/>
    <row r="739" ht="15.75" customHeight="1" s="87"/>
    <row r="740" ht="15.75" customHeight="1" s="87"/>
    <row r="741" ht="15.75" customHeight="1" s="87"/>
    <row r="742" ht="15.75" customHeight="1" s="87"/>
    <row r="743" ht="15.75" customHeight="1" s="87"/>
    <row r="744" ht="15.75" customHeight="1" s="87"/>
    <row r="745" ht="15.75" customHeight="1" s="87"/>
    <row r="746" ht="15.75" customHeight="1" s="87"/>
    <row r="747" ht="15.75" customHeight="1" s="87"/>
    <row r="748" ht="15.75" customHeight="1" s="87"/>
    <row r="749" ht="15.75" customHeight="1" s="87"/>
    <row r="750" ht="15.75" customHeight="1" s="87"/>
    <row r="751" ht="15.75" customHeight="1" s="87"/>
    <row r="752" ht="15.75" customHeight="1" s="87"/>
    <row r="753" ht="15.75" customHeight="1" s="87"/>
    <row r="754" ht="15.75" customHeight="1" s="87"/>
    <row r="755" ht="15.75" customHeight="1" s="87"/>
    <row r="756" ht="15.75" customHeight="1" s="87"/>
    <row r="757" ht="15.75" customHeight="1" s="87"/>
    <row r="758" ht="15.75" customHeight="1" s="87"/>
    <row r="759" ht="15.75" customHeight="1" s="87"/>
    <row r="760" ht="15.75" customHeight="1" s="87"/>
    <row r="761" ht="15.75" customHeight="1" s="87"/>
    <row r="762" ht="15.75" customHeight="1" s="87"/>
    <row r="763" ht="15.75" customHeight="1" s="87"/>
    <row r="764" ht="15.75" customHeight="1" s="87"/>
    <row r="765" ht="15.75" customHeight="1" s="87"/>
    <row r="766" ht="15.75" customHeight="1" s="87"/>
    <row r="767" ht="15.75" customHeight="1" s="87"/>
    <row r="768" ht="15.75" customHeight="1" s="87"/>
    <row r="769" ht="15.75" customHeight="1" s="87"/>
    <row r="770" ht="15.75" customHeight="1" s="87"/>
    <row r="771" ht="15.75" customHeight="1" s="87"/>
    <row r="772" ht="15.75" customHeight="1" s="87"/>
    <row r="773" ht="15.75" customHeight="1" s="87"/>
    <row r="774" ht="15.75" customHeight="1" s="87"/>
    <row r="775" ht="15.75" customHeight="1" s="87"/>
    <row r="776" ht="15.75" customHeight="1" s="87"/>
    <row r="777" ht="15.75" customHeight="1" s="87"/>
    <row r="778" ht="15.75" customHeight="1" s="87"/>
    <row r="779" ht="15.75" customHeight="1" s="87"/>
    <row r="780" ht="15.75" customHeight="1" s="87"/>
    <row r="781" ht="15.75" customHeight="1" s="87"/>
    <row r="782" ht="15.75" customHeight="1" s="87"/>
    <row r="783" ht="15.75" customHeight="1" s="87"/>
    <row r="784" ht="15.75" customHeight="1" s="87"/>
    <row r="785" ht="15.75" customHeight="1" s="87"/>
    <row r="786" ht="15.75" customHeight="1" s="87"/>
    <row r="787" ht="15.75" customHeight="1" s="87"/>
    <row r="788" ht="15.75" customHeight="1" s="87"/>
    <row r="789" ht="15.75" customHeight="1" s="87"/>
    <row r="790" ht="15.75" customHeight="1" s="87"/>
    <row r="791" ht="15.75" customHeight="1" s="87"/>
    <row r="792" ht="15.75" customHeight="1" s="87"/>
    <row r="793" ht="15.75" customHeight="1" s="87"/>
    <row r="794" ht="15.75" customHeight="1" s="87"/>
    <row r="795" ht="15.75" customHeight="1" s="87"/>
    <row r="796" ht="15.75" customHeight="1" s="87"/>
    <row r="797" ht="15.75" customHeight="1" s="87"/>
    <row r="798" ht="15.75" customHeight="1" s="87"/>
    <row r="799" ht="15.75" customHeight="1" s="87"/>
    <row r="800" ht="15.75" customHeight="1" s="87"/>
    <row r="801" ht="15.75" customHeight="1" s="87"/>
    <row r="802" ht="15.75" customHeight="1" s="87"/>
    <row r="803" ht="15.75" customHeight="1" s="87"/>
    <row r="804" ht="15.75" customHeight="1" s="87"/>
    <row r="805" ht="15.75" customHeight="1" s="87"/>
    <row r="806" ht="15.75" customHeight="1" s="87"/>
    <row r="807" ht="15.75" customHeight="1" s="87"/>
    <row r="808" ht="15.75" customHeight="1" s="87"/>
    <row r="809" ht="15.75" customHeight="1" s="87"/>
    <row r="810" ht="15.75" customHeight="1" s="87"/>
    <row r="811" ht="15.75" customHeight="1" s="87"/>
    <row r="812" ht="15.75" customHeight="1" s="87"/>
    <row r="813" ht="15.75" customHeight="1" s="87"/>
    <row r="814" ht="15.75" customHeight="1" s="87"/>
    <row r="815" ht="15.75" customHeight="1" s="87"/>
    <row r="816" ht="15.75" customHeight="1" s="87"/>
    <row r="817" ht="15.75" customHeight="1" s="87"/>
    <row r="818" ht="15.75" customHeight="1" s="87"/>
    <row r="819" ht="15.75" customHeight="1" s="87"/>
    <row r="820" ht="15.75" customHeight="1" s="87"/>
    <row r="821" ht="15.75" customHeight="1" s="87"/>
    <row r="822" ht="15.75" customHeight="1" s="87"/>
    <row r="823" ht="15.75" customHeight="1" s="87"/>
    <row r="824" ht="15.75" customHeight="1" s="87"/>
    <row r="825" ht="15.75" customHeight="1" s="87"/>
    <row r="826" ht="15.75" customHeight="1" s="87"/>
    <row r="827" ht="15.75" customHeight="1" s="87"/>
    <row r="828" ht="15.75" customHeight="1" s="87"/>
    <row r="829" ht="15.75" customHeight="1" s="87"/>
    <row r="830" ht="15.75" customHeight="1" s="87"/>
    <row r="831" ht="15.75" customHeight="1" s="87"/>
    <row r="832" ht="15.75" customHeight="1" s="87"/>
    <row r="833" ht="15.75" customHeight="1" s="87"/>
    <row r="834" ht="15.75" customHeight="1" s="87"/>
    <row r="835" ht="15.75" customHeight="1" s="87"/>
    <row r="836" ht="15.75" customHeight="1" s="87"/>
    <row r="837" ht="15.75" customHeight="1" s="87"/>
    <row r="838" ht="15.75" customHeight="1" s="87"/>
    <row r="839" ht="15.75" customHeight="1" s="87"/>
    <row r="840" ht="15.75" customHeight="1" s="87"/>
    <row r="841" ht="15.75" customHeight="1" s="87"/>
    <row r="842" ht="15.75" customHeight="1" s="87"/>
    <row r="843" ht="15.75" customHeight="1" s="87"/>
    <row r="844" ht="15.75" customHeight="1" s="87"/>
    <row r="845" ht="15.75" customHeight="1" s="87"/>
    <row r="846" ht="15.75" customHeight="1" s="87"/>
    <row r="847" ht="15.75" customHeight="1" s="87"/>
    <row r="848" ht="15.75" customHeight="1" s="87"/>
    <row r="849" ht="15.75" customHeight="1" s="87"/>
    <row r="850" ht="15.75" customHeight="1" s="87"/>
    <row r="851" ht="15.75" customHeight="1" s="87"/>
    <row r="852" ht="15.75" customHeight="1" s="87"/>
    <row r="853" ht="15.75" customHeight="1" s="87"/>
    <row r="854" ht="15.75" customHeight="1" s="87"/>
    <row r="855" ht="15.75" customHeight="1" s="87"/>
    <row r="856" ht="15.75" customHeight="1" s="87"/>
    <row r="857" ht="15.75" customHeight="1" s="87"/>
    <row r="858" ht="15.75" customHeight="1" s="87"/>
    <row r="859" ht="15.75" customHeight="1" s="87"/>
    <row r="860" ht="15.75" customHeight="1" s="87"/>
    <row r="861" ht="15.75" customHeight="1" s="87"/>
    <row r="862" ht="15.75" customHeight="1" s="87"/>
    <row r="863" ht="15.75" customHeight="1" s="87"/>
    <row r="864" ht="15.75" customHeight="1" s="87"/>
    <row r="865" ht="15.75" customHeight="1" s="87"/>
    <row r="866" ht="15.75" customHeight="1" s="87"/>
    <row r="867" ht="15.75" customHeight="1" s="87"/>
    <row r="868" ht="15.75" customHeight="1" s="87"/>
    <row r="869" ht="15.75" customHeight="1" s="87"/>
    <row r="870" ht="15.75" customHeight="1" s="87"/>
    <row r="871" ht="15.75" customHeight="1" s="87"/>
    <row r="872" ht="15.75" customHeight="1" s="87"/>
    <row r="873" ht="15.75" customHeight="1" s="87"/>
    <row r="874" ht="15.75" customHeight="1" s="87"/>
    <row r="875" ht="15.75" customHeight="1" s="87"/>
    <row r="876" ht="15.75" customHeight="1" s="87"/>
    <row r="877" ht="15.75" customHeight="1" s="87"/>
    <row r="878" ht="15.75" customHeight="1" s="87"/>
    <row r="879" ht="15.75" customHeight="1" s="87"/>
    <row r="880" ht="15.75" customHeight="1" s="87"/>
    <row r="881" ht="15.75" customHeight="1" s="87"/>
    <row r="882" ht="15.75" customHeight="1" s="87"/>
    <row r="883" ht="15.75" customHeight="1" s="87"/>
    <row r="884" ht="15.75" customHeight="1" s="87"/>
    <row r="885" ht="15.75" customHeight="1" s="87"/>
    <row r="886" ht="15.75" customHeight="1" s="87"/>
    <row r="887" ht="15.75" customHeight="1" s="87"/>
    <row r="888" ht="15.75" customHeight="1" s="87"/>
    <row r="889" ht="15.75" customHeight="1" s="87"/>
    <row r="890" ht="15.75" customHeight="1" s="87"/>
    <row r="891" ht="15.75" customHeight="1" s="87"/>
    <row r="892" ht="15.75" customHeight="1" s="87"/>
    <row r="893" ht="15.75" customHeight="1" s="87"/>
    <row r="894" ht="15.75" customHeight="1" s="87"/>
    <row r="895" ht="15.75" customHeight="1" s="87"/>
    <row r="896" ht="15.75" customHeight="1" s="87"/>
    <row r="897" ht="15.75" customHeight="1" s="87"/>
    <row r="898" ht="15.75" customHeight="1" s="87"/>
    <row r="899" ht="15.75" customHeight="1" s="87"/>
    <row r="900" ht="15.75" customHeight="1" s="87"/>
    <row r="901" ht="15.75" customHeight="1" s="87"/>
    <row r="902" ht="15.75" customHeight="1" s="87"/>
    <row r="903" ht="15.75" customHeight="1" s="87"/>
    <row r="904" ht="15.75" customHeight="1" s="87"/>
    <row r="905" ht="15.75" customHeight="1" s="87"/>
    <row r="906" ht="15.75" customHeight="1" s="87"/>
    <row r="907" ht="15.75" customHeight="1" s="87"/>
    <row r="908" ht="15.75" customHeight="1" s="87"/>
    <row r="909" ht="15.75" customHeight="1" s="87"/>
    <row r="910" ht="15.75" customHeight="1" s="87"/>
    <row r="911" ht="15.75" customHeight="1" s="87"/>
    <row r="912" ht="15.75" customHeight="1" s="87"/>
    <row r="913" ht="15.75" customHeight="1" s="87"/>
    <row r="914" ht="15.75" customHeight="1" s="87"/>
    <row r="915" ht="15.75" customHeight="1" s="87"/>
    <row r="916" ht="15.75" customHeight="1" s="87"/>
    <row r="917" ht="15.75" customHeight="1" s="87"/>
    <row r="918" ht="15.75" customHeight="1" s="87"/>
    <row r="919" ht="15.75" customHeight="1" s="87"/>
    <row r="920" ht="15.75" customHeight="1" s="87"/>
    <row r="921" ht="15.75" customHeight="1" s="87"/>
    <row r="922" ht="15.75" customHeight="1" s="87"/>
    <row r="923" ht="15.75" customHeight="1" s="87"/>
    <row r="924" ht="15.75" customHeight="1" s="87"/>
    <row r="925" ht="15.75" customHeight="1" s="87"/>
    <row r="926" ht="15.75" customHeight="1" s="87"/>
    <row r="927" ht="15.75" customHeight="1" s="87"/>
    <row r="928" ht="15.75" customHeight="1" s="87"/>
    <row r="929" ht="15.75" customHeight="1" s="87"/>
    <row r="930" ht="15.75" customHeight="1" s="87"/>
    <row r="931" ht="15.75" customHeight="1" s="87"/>
    <row r="932" ht="15.75" customHeight="1" s="87"/>
    <row r="933" ht="15.75" customHeight="1" s="87"/>
    <row r="934" ht="15.75" customHeight="1" s="87"/>
    <row r="935" ht="15.75" customHeight="1" s="87"/>
    <row r="936" ht="15.75" customHeight="1" s="87"/>
    <row r="937" ht="15.75" customHeight="1" s="87"/>
    <row r="938" ht="15.75" customHeight="1" s="87"/>
    <row r="939" ht="15.75" customHeight="1" s="87"/>
    <row r="940" ht="15.75" customHeight="1" s="87"/>
    <row r="941" ht="15.75" customHeight="1" s="87"/>
    <row r="942" ht="15.75" customHeight="1" s="87"/>
    <row r="943" ht="15.75" customHeight="1" s="87"/>
    <row r="944" ht="15.75" customHeight="1" s="87"/>
    <row r="945" ht="15.75" customHeight="1" s="87"/>
    <row r="946" ht="15.75" customHeight="1" s="87"/>
    <row r="947" ht="15.75" customHeight="1" s="87"/>
    <row r="948" ht="15.75" customHeight="1" s="87"/>
    <row r="949" ht="15.75" customHeight="1" s="87"/>
    <row r="950" ht="15.75" customHeight="1" s="87"/>
    <row r="951" ht="15.75" customHeight="1" s="87"/>
    <row r="952" ht="15.75" customHeight="1" s="87"/>
    <row r="953" ht="15.75" customHeight="1" s="87"/>
    <row r="954" ht="15.75" customHeight="1" s="87"/>
    <row r="955" ht="15.75" customHeight="1" s="87"/>
    <row r="956" ht="15.75" customHeight="1" s="87"/>
    <row r="957" ht="15.75" customHeight="1" s="87"/>
    <row r="958" ht="15.75" customHeight="1" s="87"/>
    <row r="959" ht="15.75" customHeight="1" s="87"/>
    <row r="960" ht="15.75" customHeight="1" s="87"/>
    <row r="961" ht="15.75" customHeight="1" s="87"/>
    <row r="962" ht="15.75" customHeight="1" s="87"/>
    <row r="963" ht="15.75" customHeight="1" s="87"/>
    <row r="964" ht="15.75" customHeight="1" s="87"/>
    <row r="965" ht="15.75" customHeight="1" s="87"/>
    <row r="966" ht="15.75" customHeight="1" s="87"/>
    <row r="967" ht="15.75" customHeight="1" s="87"/>
    <row r="968" ht="15.75" customHeight="1" s="87"/>
    <row r="969" ht="15.75" customHeight="1" s="87"/>
    <row r="970" ht="15.75" customHeight="1" s="87"/>
    <row r="971" ht="15.75" customHeight="1" s="87"/>
    <row r="972" ht="15.75" customHeight="1" s="87"/>
    <row r="973" ht="15.75" customHeight="1" s="87"/>
    <row r="974" ht="15.75" customHeight="1" s="87"/>
    <row r="975" ht="15.75" customHeight="1" s="87"/>
    <row r="976" ht="15.75" customHeight="1" s="87"/>
    <row r="977" ht="15.75" customHeight="1" s="87"/>
    <row r="978" ht="15.75" customHeight="1" s="87"/>
    <row r="979" ht="15.75" customHeight="1" s="87"/>
    <row r="980" ht="15.75" customHeight="1" s="87"/>
    <row r="981" ht="15.75" customHeight="1" s="87"/>
    <row r="982" ht="15.75" customHeight="1" s="87"/>
    <row r="983" ht="15.75" customHeight="1" s="87"/>
    <row r="984" ht="15.75" customHeight="1" s="87"/>
    <row r="985" ht="15.75" customHeight="1" s="87"/>
    <row r="986" ht="15.75" customHeight="1" s="87"/>
    <row r="987" ht="15.75" customHeight="1" s="87"/>
    <row r="988" ht="15.75" customHeight="1" s="87"/>
    <row r="989" ht="15.75" customHeight="1" s="87"/>
    <row r="990" ht="15.75" customHeight="1" s="87"/>
    <row r="991" ht="15.75" customHeight="1" s="87"/>
    <row r="992" ht="15.75" customHeight="1" s="87"/>
    <row r="993" ht="15.75" customHeight="1" s="87"/>
    <row r="994" ht="15.75" customHeight="1" s="87"/>
    <row r="995" ht="15.75" customHeight="1" s="87"/>
    <row r="996" ht="15.75" customHeight="1" s="87"/>
    <row r="997" ht="15.75" customHeight="1" s="87"/>
    <row r="998" ht="15.75" customHeight="1" s="87"/>
    <row r="999" ht="15.75" customHeight="1" s="87"/>
    <row r="1000" ht="15.75" customHeight="1" s="87"/>
    <row r="1001" ht="15.75" customHeight="1" s="87"/>
  </sheetData>
  <mergeCells count="1">
    <mergeCell ref="A1:AL1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L7"/>
  <sheetViews>
    <sheetView tabSelected="1" workbookViewId="0">
      <selection activeCell="A1" sqref="A1"/>
    </sheetView>
  </sheetViews>
  <sheetFormatPr baseColWidth="8" defaultColWidth="12.625" defaultRowHeight="15" customHeight="1"/>
  <cols>
    <col width="30" customWidth="1" style="5" min="1" max="1"/>
    <col width="10" customWidth="1" style="87" min="2" max="2"/>
    <col width="10" customWidth="1" style="87" min="3" max="7"/>
    <col width="10" customWidth="1" style="87" min="4" max="4"/>
    <col width="10" customWidth="1" style="87" min="5" max="5"/>
    <col width="10" customWidth="1" style="87" min="6" max="6"/>
    <col width="10" customWidth="1" style="87" min="7" max="7"/>
    <col width="10" customWidth="1" style="5" min="8" max="26"/>
    <col width="10" customWidth="1" style="87" min="9" max="9"/>
    <col width="10" customWidth="1" style="87" min="10" max="10"/>
    <col width="10" customWidth="1" style="87" min="11" max="11"/>
    <col width="10" customWidth="1" style="87" min="12" max="12"/>
    <col width="10" customWidth="1" style="87" min="13" max="13"/>
    <col width="10" customWidth="1" style="87" min="14" max="14"/>
    <col width="10" customWidth="1" style="87" min="15" max="15"/>
    <col width="10" customWidth="1" style="87" min="16" max="16"/>
    <col width="10" customWidth="1" style="87" min="17" max="17"/>
    <col width="10" customWidth="1" style="87" min="18" max="18"/>
    <col width="10" customWidth="1" style="87" min="19" max="19"/>
    <col width="10" customWidth="1" style="87" min="20" max="20"/>
    <col width="10" customWidth="1" style="87" min="21" max="21"/>
    <col width="10" customWidth="1" style="87" min="22" max="22"/>
    <col width="10" customWidth="1" style="87" min="23" max="23"/>
    <col width="10" customWidth="1" style="87" min="24" max="24"/>
    <col width="10" customWidth="1" style="87" min="25" max="25"/>
    <col width="10" customWidth="1" style="87" min="26" max="26"/>
    <col width="10" customWidth="1" style="87" min="27" max="27"/>
    <col width="10" customWidth="1" style="87" min="28" max="28"/>
    <col width="10" customWidth="1" style="87" min="29" max="29"/>
    <col width="10" customWidth="1" style="87" min="30" max="30"/>
    <col width="10" customWidth="1" style="87" min="31" max="31"/>
    <col width="10" customWidth="1" style="87" min="32" max="32"/>
    <col width="10" customWidth="1" style="87" min="33" max="33"/>
    <col width="10" customWidth="1" style="87" min="34" max="34"/>
    <col width="10" customWidth="1" style="87" min="35" max="35"/>
    <col width="10" customWidth="1" style="87" min="36" max="36"/>
    <col width="10" customWidth="1" style="87" min="37" max="37"/>
  </cols>
  <sheetData>
    <row r="1">
      <c r="A1" s="162" t="inlineStr">
        <is>
          <t>COSTS (36 miesięcy)</t>
        </is>
      </c>
    </row>
    <row r="2" ht="13.5" customHeight="1" s="87">
      <c r="A2" s="163" t="inlineStr">
        <is>
          <t>Kategoria</t>
        </is>
      </c>
      <c r="B2" s="163" t="inlineStr">
        <is>
          <t>M1</t>
        </is>
      </c>
      <c r="C2" s="163" t="inlineStr">
        <is>
          <t>M2</t>
        </is>
      </c>
      <c r="D2" s="163" t="inlineStr">
        <is>
          <t>M3</t>
        </is>
      </c>
      <c r="E2" s="163" t="inlineStr">
        <is>
          <t>M4</t>
        </is>
      </c>
      <c r="F2" s="163" t="inlineStr">
        <is>
          <t>M5</t>
        </is>
      </c>
      <c r="G2" s="163" t="inlineStr">
        <is>
          <t>M6</t>
        </is>
      </c>
      <c r="H2" s="163" t="inlineStr">
        <is>
          <t>M7</t>
        </is>
      </c>
      <c r="I2" s="163" t="inlineStr">
        <is>
          <t>M8</t>
        </is>
      </c>
      <c r="J2" s="163" t="inlineStr">
        <is>
          <t>M9</t>
        </is>
      </c>
      <c r="K2" s="163" t="inlineStr">
        <is>
          <t>M10</t>
        </is>
      </c>
      <c r="L2" s="163" t="inlineStr">
        <is>
          <t>M11</t>
        </is>
      </c>
      <c r="M2" s="163" t="inlineStr">
        <is>
          <t>M12</t>
        </is>
      </c>
      <c r="N2" s="163" t="inlineStr">
        <is>
          <t>M13</t>
        </is>
      </c>
      <c r="O2" s="163" t="inlineStr">
        <is>
          <t>M14</t>
        </is>
      </c>
      <c r="P2" s="163" t="inlineStr">
        <is>
          <t>M15</t>
        </is>
      </c>
      <c r="Q2" s="163" t="inlineStr">
        <is>
          <t>M16</t>
        </is>
      </c>
      <c r="R2" s="163" t="inlineStr">
        <is>
          <t>M17</t>
        </is>
      </c>
      <c r="S2" s="163" t="inlineStr">
        <is>
          <t>M18</t>
        </is>
      </c>
      <c r="T2" s="163" t="inlineStr">
        <is>
          <t>M19</t>
        </is>
      </c>
      <c r="U2" s="163" t="inlineStr">
        <is>
          <t>M20</t>
        </is>
      </c>
      <c r="V2" s="163" t="inlineStr">
        <is>
          <t>M21</t>
        </is>
      </c>
      <c r="W2" s="163" t="inlineStr">
        <is>
          <t>M22</t>
        </is>
      </c>
      <c r="X2" s="163" t="inlineStr">
        <is>
          <t>M23</t>
        </is>
      </c>
      <c r="Y2" s="163" t="inlineStr">
        <is>
          <t>M24</t>
        </is>
      </c>
      <c r="Z2" s="163" t="inlineStr">
        <is>
          <t>M25</t>
        </is>
      </c>
      <c r="AA2" s="163" t="inlineStr">
        <is>
          <t>M26</t>
        </is>
      </c>
      <c r="AB2" s="163" t="inlineStr">
        <is>
          <t>M27</t>
        </is>
      </c>
      <c r="AC2" s="163" t="inlineStr">
        <is>
          <t>M28</t>
        </is>
      </c>
      <c r="AD2" s="163" t="inlineStr">
        <is>
          <t>M29</t>
        </is>
      </c>
      <c r="AE2" s="163" t="inlineStr">
        <is>
          <t>M30</t>
        </is>
      </c>
      <c r="AF2" s="163" t="inlineStr">
        <is>
          <t>M31</t>
        </is>
      </c>
      <c r="AG2" s="163" t="inlineStr">
        <is>
          <t>M32</t>
        </is>
      </c>
      <c r="AH2" s="163" t="inlineStr">
        <is>
          <t>M33</t>
        </is>
      </c>
      <c r="AI2" s="163" t="inlineStr">
        <is>
          <t>M34</t>
        </is>
      </c>
      <c r="AJ2" s="163" t="inlineStr">
        <is>
          <t>M35</t>
        </is>
      </c>
      <c r="AK2" s="163" t="inlineStr">
        <is>
          <t>M36</t>
        </is>
      </c>
      <c r="AL2" s="163" t="n"/>
    </row>
    <row r="3" ht="13.5" customHeight="1" s="87">
      <c r="A3" s="164" t="inlineStr">
        <is>
          <t>COGS: Cloud (per klient)</t>
        </is>
      </c>
      <c r="B3" s="165">
        <f>'Best_Case_B2B_Revenue_Build'!B5*CLOUD_PER_CUST</f>
        <v/>
      </c>
      <c r="C3" s="165">
        <f>'Best_Case_B2B_Revenue_Build'!C5*CLOUD_PER_CUST</f>
        <v/>
      </c>
      <c r="D3" s="165">
        <f>'Best_Case_B2B_Revenue_Build'!D5*CLOUD_PER_CUST</f>
        <v/>
      </c>
      <c r="E3" s="165">
        <f>'Best_Case_B2B_Revenue_Build'!E5*CLOUD_PER_CUST</f>
        <v/>
      </c>
      <c r="F3" s="165">
        <f>'Best_Case_B2B_Revenue_Build'!F5*CLOUD_PER_CUST</f>
        <v/>
      </c>
      <c r="G3" s="165">
        <f>'Best_Case_B2B_Revenue_Build'!G5*CLOUD_PER_CUST</f>
        <v/>
      </c>
      <c r="H3" s="165">
        <f>'Best_Case_B2B_Revenue_Build'!H5*CLOUD_PER_CUST</f>
        <v/>
      </c>
      <c r="I3" s="165">
        <f>'Best_Case_B2B_Revenue_Build'!I5*CLOUD_PER_CUST</f>
        <v/>
      </c>
      <c r="J3" s="165">
        <f>'Best_Case_B2B_Revenue_Build'!J5*CLOUD_PER_CUST</f>
        <v/>
      </c>
      <c r="K3" s="165">
        <f>'Best_Case_B2B_Revenue_Build'!K5*CLOUD_PER_CUST</f>
        <v/>
      </c>
      <c r="L3" s="165">
        <f>'Best_Case_B2B_Revenue_Build'!L5*CLOUD_PER_CUST</f>
        <v/>
      </c>
      <c r="M3" s="165">
        <f>'Best_Case_B2B_Revenue_Build'!M5*CLOUD_PER_CUST</f>
        <v/>
      </c>
      <c r="N3" s="165">
        <f>'Best_Case_B2B_Revenue_Build'!N5*CLOUD_PER_CUST</f>
        <v/>
      </c>
      <c r="O3" s="165">
        <f>'Best_Case_B2B_Revenue_Build'!O5*CLOUD_PER_CUST</f>
        <v/>
      </c>
      <c r="P3" s="165">
        <f>'Best_Case_B2B_Revenue_Build'!P5*CLOUD_PER_CUST</f>
        <v/>
      </c>
      <c r="Q3" s="165">
        <f>'Best_Case_B2B_Revenue_Build'!Q5*CLOUD_PER_CUST</f>
        <v/>
      </c>
      <c r="R3" s="165">
        <f>'Best_Case_B2B_Revenue_Build'!R5*CLOUD_PER_CUST</f>
        <v/>
      </c>
      <c r="S3" s="165">
        <f>'Best_Case_B2B_Revenue_Build'!S5*CLOUD_PER_CUST</f>
        <v/>
      </c>
      <c r="T3" s="165">
        <f>'Best_Case_B2B_Revenue_Build'!T5*CLOUD_PER_CUST</f>
        <v/>
      </c>
      <c r="U3" s="165">
        <f>'Best_Case_B2B_Revenue_Build'!U5*CLOUD_PER_CUST</f>
        <v/>
      </c>
      <c r="V3" s="165">
        <f>'Best_Case_B2B_Revenue_Build'!V5*CLOUD_PER_CUST</f>
        <v/>
      </c>
      <c r="W3" s="165">
        <f>'Best_Case_B2B_Revenue_Build'!W5*CLOUD_PER_CUST</f>
        <v/>
      </c>
      <c r="X3" s="165">
        <f>'Best_Case_B2B_Revenue_Build'!X5*CLOUD_PER_CUST</f>
        <v/>
      </c>
      <c r="Y3" s="165">
        <f>'Best_Case_B2B_Revenue_Build'!Y5*CLOUD_PER_CUST</f>
        <v/>
      </c>
      <c r="Z3" s="165">
        <f>'Best_Case_B2B_Revenue_Build'!Z5*CLOUD_PER_CUST</f>
        <v/>
      </c>
      <c r="AA3" s="165">
        <f>'Best_Case_B2B_Revenue_Build'!AA5*CLOUD_PER_CUST</f>
        <v/>
      </c>
      <c r="AB3" s="165">
        <f>'Best_Case_B2B_Revenue_Build'!AB5*CLOUD_PER_CUST</f>
        <v/>
      </c>
      <c r="AC3" s="165">
        <f>'Best_Case_B2B_Revenue_Build'!AC5*CLOUD_PER_CUST</f>
        <v/>
      </c>
      <c r="AD3" s="165">
        <f>'Best_Case_B2B_Revenue_Build'!AD5*CLOUD_PER_CUST</f>
        <v/>
      </c>
      <c r="AE3" s="165">
        <f>'Best_Case_B2B_Revenue_Build'!AE5*CLOUD_PER_CUST</f>
        <v/>
      </c>
      <c r="AF3" s="165">
        <f>'Best_Case_B2B_Revenue_Build'!AF5*CLOUD_PER_CUST</f>
        <v/>
      </c>
      <c r="AG3" s="165">
        <f>'Best_Case_B2B_Revenue_Build'!AG5*CLOUD_PER_CUST</f>
        <v/>
      </c>
      <c r="AH3" s="165">
        <f>'Best_Case_B2B_Revenue_Build'!AH5*CLOUD_PER_CUST</f>
        <v/>
      </c>
      <c r="AI3" s="165">
        <f>'Best_Case_B2B_Revenue_Build'!AI5*CLOUD_PER_CUST</f>
        <v/>
      </c>
      <c r="AJ3" s="165">
        <f>'Best_Case_B2B_Revenue_Build'!AJ5*CLOUD_PER_CUST</f>
        <v/>
      </c>
      <c r="AK3" s="165">
        <f>'Best_Case_B2B_Revenue_Build'!AK5*CLOUD_PER_CUST</f>
        <v/>
      </c>
    </row>
    <row r="4" ht="13.5" customHeight="1" s="87">
      <c r="A4" s="164" t="inlineStr">
        <is>
          <t>OPEX: Payroll</t>
        </is>
      </c>
      <c r="B4" s="165">
        <f>(2*5000 + 'Detailed_Headcount'!B5*5522.73)*(1+EMPLOYER_ONCOST)</f>
        <v/>
      </c>
      <c r="C4" s="165">
        <f>(2*5000 + 'Detailed_Headcount'!C5*5522.73)*(1+EMPLOYER_ONCOST)</f>
        <v/>
      </c>
      <c r="D4" s="165">
        <f>(2*5000 + 'Detailed_Headcount'!D5*5522.73)*(1+EMPLOYER_ONCOST)</f>
        <v/>
      </c>
      <c r="E4" s="165">
        <f>(2*5000 + 'Detailed_Headcount'!E5*5522.73)*(1+EMPLOYER_ONCOST)</f>
        <v/>
      </c>
      <c r="F4" s="165">
        <f>(2*5000 + 'Detailed_Headcount'!F5*5522.73)*(1+EMPLOYER_ONCOST)</f>
        <v/>
      </c>
      <c r="G4" s="165">
        <f>(2*5000 + 'Detailed_Headcount'!G5*5522.73)*(1+EMPLOYER_ONCOST)</f>
        <v/>
      </c>
      <c r="H4" s="165">
        <f>(2*5000 + 'Detailed_Headcount'!H5*5522.73)*(1+EMPLOYER_ONCOST)</f>
        <v/>
      </c>
      <c r="I4" s="165">
        <f>(2*5000 + 'Detailed_Headcount'!I5*5522.73)*(1+EMPLOYER_ONCOST)</f>
        <v/>
      </c>
      <c r="J4" s="165">
        <f>(2*5000 + 'Detailed_Headcount'!J5*5522.73)*(1+EMPLOYER_ONCOST)</f>
        <v/>
      </c>
      <c r="K4" s="165">
        <f>(2*5000 + 'Detailed_Headcount'!K5*5522.73)*(1+EMPLOYER_ONCOST)</f>
        <v/>
      </c>
      <c r="L4" s="165">
        <f>(2*5000 + 'Detailed_Headcount'!L5*5522.73)*(1+EMPLOYER_ONCOST)</f>
        <v/>
      </c>
      <c r="M4" s="165">
        <f>(2*5000 + 'Detailed_Headcount'!M5*5522.73)*(1+EMPLOYER_ONCOST)</f>
        <v/>
      </c>
      <c r="N4" s="165">
        <f>(2*5000 + 'Detailed_Headcount'!N5*5522.73)*(1+EMPLOYER_ONCOST)</f>
        <v/>
      </c>
      <c r="O4" s="165">
        <f>(2*5000 + 'Detailed_Headcount'!O5*5522.73)*(1+EMPLOYER_ONCOST)</f>
        <v/>
      </c>
      <c r="P4" s="165">
        <f>(2*5000 + 'Detailed_Headcount'!P5*5522.73)*(1+EMPLOYER_ONCOST)</f>
        <v/>
      </c>
      <c r="Q4" s="165">
        <f>(2*5000 + 'Detailed_Headcount'!Q5*5522.73)*(1+EMPLOYER_ONCOST)</f>
        <v/>
      </c>
      <c r="R4" s="165">
        <f>(2*5000 + 'Detailed_Headcount'!R5*5522.73)*(1+EMPLOYER_ONCOST)</f>
        <v/>
      </c>
      <c r="S4" s="165">
        <f>(2*5000 + 'Detailed_Headcount'!S5*5522.73)*(1+EMPLOYER_ONCOST)</f>
        <v/>
      </c>
      <c r="T4" s="165">
        <f>(2*5000 + 'Detailed_Headcount'!T5*5522.73)*(1+EMPLOYER_ONCOST)</f>
        <v/>
      </c>
      <c r="U4" s="165">
        <f>(2*5000 + 'Detailed_Headcount'!U5*5522.73)*(1+EMPLOYER_ONCOST)</f>
        <v/>
      </c>
      <c r="V4" s="165">
        <f>(2*5000 + 'Detailed_Headcount'!V5*5522.73)*(1+EMPLOYER_ONCOST)</f>
        <v/>
      </c>
      <c r="W4" s="165">
        <f>(2*5000 + 'Detailed_Headcount'!W5*5522.73)*(1+EMPLOYER_ONCOST)</f>
        <v/>
      </c>
      <c r="X4" s="165">
        <f>(2*5000 + 'Detailed_Headcount'!X5*5522.73)*(1+EMPLOYER_ONCOST)</f>
        <v/>
      </c>
      <c r="Y4" s="165">
        <f>(2*5000 + 'Detailed_Headcount'!Y5*5522.73)*(1+EMPLOYER_ONCOST)</f>
        <v/>
      </c>
      <c r="Z4" s="165">
        <f>(2*5000 + 'Detailed_Headcount'!Z5*5522.73)*(1+EMPLOYER_ONCOST)</f>
        <v/>
      </c>
      <c r="AA4" s="165">
        <f>(2*5000 + 'Detailed_Headcount'!AA5*5522.73)*(1+EMPLOYER_ONCOST)</f>
        <v/>
      </c>
      <c r="AB4" s="165">
        <f>(2*5000 + 'Detailed_Headcount'!AB5*5522.73)*(1+EMPLOYER_ONCOST)</f>
        <v/>
      </c>
      <c r="AC4" s="165">
        <f>(2*5000 + 'Detailed_Headcount'!AC5*5522.73)*(1+EMPLOYER_ONCOST)</f>
        <v/>
      </c>
      <c r="AD4" s="165">
        <f>(2*5000 + 'Detailed_Headcount'!AD5*5522.73)*(1+EMPLOYER_ONCOST)</f>
        <v/>
      </c>
      <c r="AE4" s="165">
        <f>(2*5000 + 'Detailed_Headcount'!AE5*5522.73)*(1+EMPLOYER_ONCOST)</f>
        <v/>
      </c>
      <c r="AF4" s="165">
        <f>(2*5000 + 'Detailed_Headcount'!AF5*5522.73)*(1+EMPLOYER_ONCOST)</f>
        <v/>
      </c>
      <c r="AG4" s="165">
        <f>(2*5000 + 'Detailed_Headcount'!AG5*5522.73)*(1+EMPLOYER_ONCOST)</f>
        <v/>
      </c>
      <c r="AH4" s="165">
        <f>(2*5000 + 'Detailed_Headcount'!AH5*5522.73)*(1+EMPLOYER_ONCOST)</f>
        <v/>
      </c>
      <c r="AI4" s="165">
        <f>(2*5000 + 'Detailed_Headcount'!AI5*5522.73)*(1+EMPLOYER_ONCOST)</f>
        <v/>
      </c>
      <c r="AJ4" s="165">
        <f>(2*5000 + 'Detailed_Headcount'!AJ5*5522.73)*(1+EMPLOYER_ONCOST)</f>
        <v/>
      </c>
      <c r="AK4" s="165">
        <f>(2*5000 + 'Detailed_Headcount'!AK5*5522.73)*(1+EMPLOYER_ONCOST)</f>
        <v/>
      </c>
    </row>
    <row r="5" ht="13.5" customHeight="1" s="87">
      <c r="A5" s="164" t="inlineStr">
        <is>
          <t>OPEX: Stałe koszty operacyjne</t>
        </is>
      </c>
      <c r="B5" s="165">
        <f>OPEX_FIXED_M</f>
        <v/>
      </c>
      <c r="C5" s="165">
        <f>OPEX_FIXED_M</f>
        <v/>
      </c>
      <c r="D5" s="165">
        <f>OPEX_FIXED_M</f>
        <v/>
      </c>
      <c r="E5" s="165">
        <f>OPEX_FIXED_M</f>
        <v/>
      </c>
      <c r="F5" s="165">
        <f>OPEX_FIXED_M</f>
        <v/>
      </c>
      <c r="G5" s="165">
        <f>OPEX_FIXED_M</f>
        <v/>
      </c>
      <c r="H5" s="165">
        <f>OPEX_FIXED_M</f>
        <v/>
      </c>
      <c r="I5" s="165">
        <f>OPEX_FIXED_M</f>
        <v/>
      </c>
      <c r="J5" s="165">
        <f>OPEX_FIXED_M</f>
        <v/>
      </c>
      <c r="K5" s="165">
        <f>OPEX_FIXED_M</f>
        <v/>
      </c>
      <c r="L5" s="165">
        <f>OPEX_FIXED_M</f>
        <v/>
      </c>
      <c r="M5" s="165">
        <f>OPEX_FIXED_M</f>
        <v/>
      </c>
      <c r="N5" s="165">
        <f>OPEX_FIXED_M</f>
        <v/>
      </c>
      <c r="O5" s="165">
        <f>OPEX_FIXED_M</f>
        <v/>
      </c>
      <c r="P5" s="165">
        <f>OPEX_FIXED_M</f>
        <v/>
      </c>
      <c r="Q5" s="165">
        <f>OPEX_FIXED_M</f>
        <v/>
      </c>
      <c r="R5" s="165">
        <f>OPEX_FIXED_M</f>
        <v/>
      </c>
      <c r="S5" s="165">
        <f>OPEX_FIXED_M</f>
        <v/>
      </c>
      <c r="T5" s="165">
        <f>OPEX_FIXED_M</f>
        <v/>
      </c>
      <c r="U5" s="165">
        <f>OPEX_FIXED_M</f>
        <v/>
      </c>
      <c r="V5" s="165">
        <f>OPEX_FIXED_M</f>
        <v/>
      </c>
      <c r="W5" s="165">
        <f>OPEX_FIXED_M</f>
        <v/>
      </c>
      <c r="X5" s="165">
        <f>OPEX_FIXED_M</f>
        <v/>
      </c>
      <c r="Y5" s="165">
        <f>OPEX_FIXED_M</f>
        <v/>
      </c>
      <c r="Z5" s="165">
        <f>OPEX_FIXED_M</f>
        <v/>
      </c>
      <c r="AA5" s="165">
        <f>OPEX_FIXED_M</f>
        <v/>
      </c>
      <c r="AB5" s="165">
        <f>OPEX_FIXED_M</f>
        <v/>
      </c>
      <c r="AC5" s="165">
        <f>OPEX_FIXED_M</f>
        <v/>
      </c>
      <c r="AD5" s="165">
        <f>OPEX_FIXED_M</f>
        <v/>
      </c>
      <c r="AE5" s="165">
        <f>OPEX_FIXED_M</f>
        <v/>
      </c>
      <c r="AF5" s="165">
        <f>OPEX_FIXED_M</f>
        <v/>
      </c>
      <c r="AG5" s="165">
        <f>OPEX_FIXED_M</f>
        <v/>
      </c>
      <c r="AH5" s="165">
        <f>OPEX_FIXED_M</f>
        <v/>
      </c>
      <c r="AI5" s="165">
        <f>OPEX_FIXED_M</f>
        <v/>
      </c>
      <c r="AJ5" s="165">
        <f>OPEX_FIXED_M</f>
        <v/>
      </c>
      <c r="AK5" s="165">
        <f>OPEX_FIXED_M</f>
        <v/>
      </c>
    </row>
    <row r="6" ht="13.5" customHeight="1" s="87">
      <c r="A6" s="164" t="inlineStr">
        <is>
          <t>OPEX: ISO 27001 (one-off)</t>
        </is>
      </c>
      <c r="B6" s="165">
        <f>IF(1=16,30000,0)</f>
        <v/>
      </c>
      <c r="C6" s="165">
        <f>IF(2=16,30000,0)</f>
        <v/>
      </c>
      <c r="D6" s="165">
        <f>IF(3=16,30000,0)</f>
        <v/>
      </c>
      <c r="E6" s="165">
        <f>IF(4=16,30000,0)</f>
        <v/>
      </c>
      <c r="F6" s="165">
        <f>IF(5=16,30000,0)</f>
        <v/>
      </c>
      <c r="G6" s="165">
        <f>IF(6=16,30000,0)</f>
        <v/>
      </c>
      <c r="H6" s="165">
        <f>IF(7=16,30000,0)</f>
        <v/>
      </c>
      <c r="I6" s="165">
        <f>IF(8=16,30000,0)</f>
        <v/>
      </c>
      <c r="J6" s="165">
        <f>IF(9=16,30000,0)</f>
        <v/>
      </c>
      <c r="K6" s="165">
        <f>IF(10=16,30000,0)</f>
        <v/>
      </c>
      <c r="L6" s="165">
        <f>IF(11=16,30000,0)</f>
        <v/>
      </c>
      <c r="M6" s="165">
        <f>IF(12=16,30000,0)</f>
        <v/>
      </c>
      <c r="N6" s="165">
        <f>IF(13=16,30000,0)</f>
        <v/>
      </c>
      <c r="O6" s="165">
        <f>IF(14=16,30000,0)</f>
        <v/>
      </c>
      <c r="P6" s="165">
        <f>IF(15=16,30000,0)</f>
        <v/>
      </c>
      <c r="Q6" s="165">
        <f>IF(16=16,30000,0)</f>
        <v/>
      </c>
      <c r="R6" s="165">
        <f>IF(17=16,30000,0)</f>
        <v/>
      </c>
      <c r="S6" s="165">
        <f>IF(18=16,30000,0)</f>
        <v/>
      </c>
      <c r="T6" s="165">
        <f>IF(19=16,30000,0)</f>
        <v/>
      </c>
      <c r="U6" s="165">
        <f>IF(20=16,30000,0)</f>
        <v/>
      </c>
      <c r="V6" s="165">
        <f>IF(21=16,30000,0)</f>
        <v/>
      </c>
      <c r="W6" s="165">
        <f>IF(22=16,30000,0)</f>
        <v/>
      </c>
      <c r="X6" s="165">
        <f>IF(23=16,30000,0)</f>
        <v/>
      </c>
      <c r="Y6" s="165">
        <f>IF(24=16,30000,0)</f>
        <v/>
      </c>
      <c r="Z6" s="165">
        <f>IF(25=16,30000,0)</f>
        <v/>
      </c>
      <c r="AA6" s="165">
        <f>IF(26=16,30000,0)</f>
        <v/>
      </c>
      <c r="AB6" s="165">
        <f>IF(27=16,30000,0)</f>
        <v/>
      </c>
      <c r="AC6" s="165">
        <f>IF(28=16,30000,0)</f>
        <v/>
      </c>
      <c r="AD6" s="165">
        <f>IF(29=16,30000,0)</f>
        <v/>
      </c>
      <c r="AE6" s="165">
        <f>IF(30=16,30000,0)</f>
        <v/>
      </c>
      <c r="AF6" s="165">
        <f>IF(31=16,30000,0)</f>
        <v/>
      </c>
      <c r="AG6" s="165">
        <f>IF(32=16,30000,0)</f>
        <v/>
      </c>
      <c r="AH6" s="165">
        <f>IF(33=16,30000,0)</f>
        <v/>
      </c>
      <c r="AI6" s="165">
        <f>IF(34=16,30000,0)</f>
        <v/>
      </c>
      <c r="AJ6" s="165">
        <f>IF(35=16,30000,0)</f>
        <v/>
      </c>
      <c r="AK6" s="165">
        <f>IF(36=16,30000,0)</f>
        <v/>
      </c>
    </row>
    <row r="7" ht="13.5" customHeight="1" s="87">
      <c r="A7" s="164" t="inlineStr">
        <is>
          <t>Łączne koszty</t>
        </is>
      </c>
      <c r="B7" s="165">
        <f>SUM(B3:B6)</f>
        <v/>
      </c>
      <c r="C7" s="165">
        <f>SUM(C3:C6)</f>
        <v/>
      </c>
      <c r="D7" s="165">
        <f>SUM(D3:D6)</f>
        <v/>
      </c>
      <c r="E7" s="165">
        <f>SUM(E3:E6)</f>
        <v/>
      </c>
      <c r="F7" s="165">
        <f>SUM(F3:F6)</f>
        <v/>
      </c>
      <c r="G7" s="165">
        <f>SUM(G3:G6)</f>
        <v/>
      </c>
      <c r="H7" s="165">
        <f>SUM(H3:H6)</f>
        <v/>
      </c>
      <c r="I7" s="165">
        <f>SUM(I3:I6)</f>
        <v/>
      </c>
      <c r="J7" s="165">
        <f>SUM(J3:J6)</f>
        <v/>
      </c>
      <c r="K7" s="165">
        <f>SUM(K3:K6)</f>
        <v/>
      </c>
      <c r="L7" s="165">
        <f>SUM(L3:L6)</f>
        <v/>
      </c>
      <c r="M7" s="165">
        <f>SUM(M3:M6)</f>
        <v/>
      </c>
      <c r="N7" s="165">
        <f>SUM(N3:N6)</f>
        <v/>
      </c>
      <c r="O7" s="165">
        <f>SUM(O3:O6)</f>
        <v/>
      </c>
      <c r="P7" s="165">
        <f>SUM(P3:P6)</f>
        <v/>
      </c>
      <c r="Q7" s="165">
        <f>SUM(Q3:Q6)</f>
        <v/>
      </c>
      <c r="R7" s="165">
        <f>SUM(R3:R6)</f>
        <v/>
      </c>
      <c r="S7" s="165">
        <f>SUM(S3:S6)</f>
        <v/>
      </c>
      <c r="T7" s="165">
        <f>SUM(T3:T6)</f>
        <v/>
      </c>
      <c r="U7" s="165">
        <f>SUM(U3:U6)</f>
        <v/>
      </c>
      <c r="V7" s="165">
        <f>SUM(V3:V6)</f>
        <v/>
      </c>
      <c r="W7" s="165">
        <f>SUM(W3:W6)</f>
        <v/>
      </c>
      <c r="X7" s="165">
        <f>SUM(X3:X6)</f>
        <v/>
      </c>
      <c r="Y7" s="165">
        <f>SUM(Y3:Y6)</f>
        <v/>
      </c>
      <c r="Z7" s="165">
        <f>SUM(Z3:Z6)</f>
        <v/>
      </c>
      <c r="AA7" s="165">
        <f>SUM(AA3:AA6)</f>
        <v/>
      </c>
      <c r="AB7" s="165">
        <f>SUM(AB3:AB6)</f>
        <v/>
      </c>
      <c r="AC7" s="165">
        <f>SUM(AC3:AC6)</f>
        <v/>
      </c>
      <c r="AD7" s="165">
        <f>SUM(AD3:AD6)</f>
        <v/>
      </c>
      <c r="AE7" s="165">
        <f>SUM(AE3:AE6)</f>
        <v/>
      </c>
      <c r="AF7" s="165">
        <f>SUM(AF3:AF6)</f>
        <v/>
      </c>
      <c r="AG7" s="165">
        <f>SUM(AG3:AG6)</f>
        <v/>
      </c>
      <c r="AH7" s="165">
        <f>SUM(AH3:AH6)</f>
        <v/>
      </c>
      <c r="AI7" s="165">
        <f>SUM(AI3:AI6)</f>
        <v/>
      </c>
      <c r="AJ7" s="165">
        <f>SUM(AJ3:AJ6)</f>
        <v/>
      </c>
      <c r="AK7" s="165">
        <f>SUM(AK3:AK6)</f>
        <v/>
      </c>
    </row>
    <row r="8" hidden="1" ht="13.5" customHeight="1" s="87"/>
    <row r="9" hidden="1" ht="13.5" customHeight="1" s="87"/>
    <row r="10" hidden="1" ht="13.5" customHeight="1" s="87"/>
    <row r="11" hidden="1" ht="13.5" customHeight="1" s="87"/>
    <row r="12" hidden="1" ht="13.5" customHeight="1" s="87"/>
    <row r="13" hidden="1" ht="13.5" customHeight="1" s="87"/>
    <row r="14" hidden="1" ht="13.5" customHeight="1" s="87"/>
    <row r="15" ht="13.5" customHeight="1" s="87"/>
    <row r="16" ht="13.5" customHeight="1" s="87"/>
    <row r="17" ht="13.5" customHeight="1" s="87"/>
    <row r="18" ht="13.5" customHeight="1" s="87"/>
    <row r="19" ht="13.5" customHeight="1" s="87"/>
    <row r="20" ht="13.5" customHeight="1" s="87"/>
    <row r="21" ht="13.5" customHeight="1" s="87"/>
    <row r="22" ht="13.5" customHeight="1" s="87"/>
    <row r="23" ht="13.5" customHeight="1" s="87"/>
    <row r="24" ht="13.5" customHeight="1" s="87"/>
    <row r="25" ht="13.5" customHeight="1" s="87"/>
    <row r="26" ht="13.5" customHeight="1" s="87"/>
    <row r="27" ht="13.5" customHeight="1" s="87"/>
    <row r="28" ht="13.5" customHeight="1" s="87"/>
    <row r="29" ht="13.5" customHeight="1" s="87"/>
    <row r="30" ht="13.5" customHeight="1" s="87"/>
    <row r="31" ht="13.5" customHeight="1" s="87"/>
    <row r="32" ht="15.75" customHeight="1" s="87"/>
    <row r="33" ht="15.75" customHeight="1" s="87"/>
    <row r="34" ht="15.75" customHeight="1" s="87"/>
    <row r="35" ht="15.75" customHeight="1" s="87"/>
    <row r="36" ht="15.75" customHeight="1" s="87"/>
    <row r="37" ht="15.75" customHeight="1" s="87"/>
    <row r="38" ht="15.75" customHeight="1" s="87"/>
    <row r="39" ht="15.75" customHeight="1" s="87"/>
    <row r="40" ht="15.75" customHeight="1" s="87"/>
    <row r="41" ht="15.75" customHeight="1" s="87"/>
    <row r="42" ht="15.75" customHeight="1" s="87"/>
    <row r="43" ht="15.75" customHeight="1" s="87"/>
    <row r="44" ht="15.75" customHeight="1" s="87"/>
    <row r="45" ht="15.75" customHeight="1" s="87"/>
    <row r="46" ht="15.75" customHeight="1" s="87"/>
    <row r="47" ht="15.75" customHeight="1" s="87"/>
    <row r="48" ht="15.75" customHeight="1" s="87"/>
    <row r="49" ht="15.75" customHeight="1" s="87"/>
    <row r="50" ht="15.75" customHeight="1" s="87"/>
    <row r="51" ht="15.75" customHeight="1" s="87"/>
    <row r="52" ht="15.75" customHeight="1" s="87"/>
    <row r="53" ht="15.75" customHeight="1" s="87"/>
    <row r="54" ht="15.75" customHeight="1" s="87"/>
    <row r="55" ht="15.75" customHeight="1" s="87"/>
    <row r="56" ht="15.75" customHeight="1" s="87"/>
    <row r="57" ht="15.75" customHeight="1" s="87"/>
    <row r="58" ht="15.75" customHeight="1" s="87"/>
    <row r="59" ht="15.75" customHeight="1" s="87"/>
    <row r="60" ht="15.75" customHeight="1" s="87"/>
    <row r="61" ht="15.75" customHeight="1" s="87"/>
    <row r="62" ht="15.75" customHeight="1" s="87"/>
    <row r="63" ht="15.75" customHeight="1" s="87"/>
    <row r="64" ht="15.75" customHeight="1" s="87"/>
    <row r="65" ht="15.75" customHeight="1" s="87"/>
    <row r="66" ht="15.75" customHeight="1" s="87"/>
    <row r="67" ht="15.75" customHeight="1" s="87"/>
    <row r="68" ht="15.75" customHeight="1" s="87"/>
    <row r="69" ht="15.75" customHeight="1" s="87"/>
    <row r="70" ht="15.75" customHeight="1" s="87"/>
    <row r="71" ht="15.75" customHeight="1" s="87"/>
    <row r="72" ht="15.75" customHeight="1" s="87"/>
    <row r="73" ht="15.75" customHeight="1" s="87"/>
    <row r="74" ht="15.75" customHeight="1" s="87"/>
    <row r="75" ht="15.75" customHeight="1" s="87"/>
    <row r="76" ht="15.75" customHeight="1" s="87"/>
    <row r="77" ht="15.75" customHeight="1" s="87"/>
    <row r="78" ht="15.75" customHeight="1" s="87"/>
    <row r="79" ht="15.75" customHeight="1" s="87"/>
    <row r="80" ht="15.75" customHeight="1" s="87"/>
    <row r="81" ht="15.75" customHeight="1" s="87"/>
    <row r="82" ht="15.75" customHeight="1" s="87"/>
    <row r="83" ht="15.75" customHeight="1" s="87"/>
    <row r="84" ht="15.75" customHeight="1" s="87"/>
    <row r="85" ht="15.75" customHeight="1" s="87"/>
    <row r="86" ht="15.75" customHeight="1" s="87"/>
    <row r="87" ht="15.75" customHeight="1" s="87"/>
    <row r="88" ht="15.75" customHeight="1" s="87"/>
    <row r="89" ht="15.75" customHeight="1" s="87"/>
    <row r="90" ht="15.75" customHeight="1" s="87"/>
    <row r="91" ht="15.75" customHeight="1" s="87"/>
    <row r="92" ht="15.75" customHeight="1" s="87"/>
    <row r="93" ht="15.75" customHeight="1" s="87"/>
    <row r="94" ht="15.75" customHeight="1" s="87"/>
    <row r="95" ht="15.75" customHeight="1" s="87"/>
    <row r="96" ht="15.75" customHeight="1" s="87"/>
    <row r="97" ht="15.75" customHeight="1" s="87"/>
    <row r="98" ht="15.75" customHeight="1" s="87"/>
    <row r="99" ht="15.75" customHeight="1" s="87"/>
    <row r="100" ht="15.75" customHeight="1" s="87"/>
    <row r="101" ht="15.75" customHeight="1" s="87"/>
    <row r="102" ht="15.75" customHeight="1" s="87"/>
    <row r="103" ht="15.75" customHeight="1" s="87"/>
    <row r="104" ht="15.75" customHeight="1" s="87"/>
    <row r="105" ht="15.75" customHeight="1" s="87"/>
    <row r="106" ht="15.75" customHeight="1" s="87"/>
    <row r="107" ht="15.75" customHeight="1" s="87"/>
    <row r="108" ht="15.75" customHeight="1" s="87"/>
    <row r="109" ht="15.75" customHeight="1" s="87"/>
    <row r="110" ht="15.75" customHeight="1" s="87"/>
    <row r="111" ht="15.75" customHeight="1" s="87"/>
    <row r="112" ht="15.75" customHeight="1" s="87"/>
    <row r="113" ht="15.75" customHeight="1" s="87"/>
    <row r="114" ht="15.75" customHeight="1" s="87"/>
    <row r="115" ht="15.75" customHeight="1" s="87"/>
    <row r="116" ht="15.75" customHeight="1" s="87"/>
    <row r="117" ht="15.75" customHeight="1" s="87"/>
    <row r="118" ht="15.75" customHeight="1" s="87"/>
    <row r="119" ht="15.75" customHeight="1" s="87"/>
    <row r="120" ht="15.75" customHeight="1" s="87"/>
    <row r="121" ht="15.75" customHeight="1" s="87"/>
    <row r="122" ht="15.75" customHeight="1" s="87"/>
    <row r="123" ht="15.75" customHeight="1" s="87"/>
    <row r="124" ht="15.75" customHeight="1" s="87"/>
    <row r="125" ht="15.75" customHeight="1" s="87"/>
    <row r="126" ht="15.75" customHeight="1" s="87"/>
    <row r="127" ht="15.75" customHeight="1" s="87"/>
    <row r="128" ht="15.75" customHeight="1" s="87"/>
    <row r="129" ht="15.75" customHeight="1" s="87"/>
    <row r="130" ht="15.75" customHeight="1" s="87"/>
    <row r="131" ht="15.75" customHeight="1" s="87"/>
    <row r="132" ht="15.75" customHeight="1" s="87"/>
    <row r="133" ht="15.75" customHeight="1" s="87"/>
    <row r="134" ht="15.75" customHeight="1" s="87"/>
    <row r="135" ht="15.75" customHeight="1" s="87"/>
    <row r="136" ht="15.75" customHeight="1" s="87"/>
    <row r="137" ht="15.75" customHeight="1" s="87"/>
    <row r="138" ht="15.75" customHeight="1" s="87"/>
    <row r="139" ht="15.75" customHeight="1" s="87"/>
    <row r="140" ht="15.75" customHeight="1" s="87"/>
    <row r="141" ht="15.75" customHeight="1" s="87"/>
    <row r="142" ht="15.75" customHeight="1" s="87"/>
    <row r="143" ht="15.75" customHeight="1" s="87"/>
    <row r="144" ht="15.75" customHeight="1" s="87"/>
    <row r="145" ht="15.75" customHeight="1" s="87"/>
    <row r="146" ht="15.75" customHeight="1" s="87"/>
    <row r="147" ht="15.75" customHeight="1" s="87"/>
    <row r="148" ht="15.75" customHeight="1" s="87"/>
    <row r="149" ht="15.75" customHeight="1" s="87"/>
    <row r="150" ht="15.75" customHeight="1" s="87"/>
    <row r="151" ht="15.75" customHeight="1" s="87"/>
    <row r="152" ht="15.75" customHeight="1" s="87"/>
    <row r="153" ht="15.75" customHeight="1" s="87"/>
    <row r="154" ht="15.75" customHeight="1" s="87"/>
    <row r="155" ht="15.75" customHeight="1" s="87"/>
    <row r="156" ht="15.75" customHeight="1" s="87"/>
    <row r="157" ht="15.75" customHeight="1" s="87"/>
    <row r="158" ht="15.75" customHeight="1" s="87"/>
    <row r="159" ht="15.75" customHeight="1" s="87"/>
    <row r="160" ht="15.75" customHeight="1" s="87"/>
    <row r="161" ht="15.75" customHeight="1" s="87"/>
    <row r="162" ht="15.75" customHeight="1" s="87"/>
    <row r="163" ht="15.75" customHeight="1" s="87"/>
    <row r="164" ht="15.75" customHeight="1" s="87"/>
    <row r="165" ht="15.75" customHeight="1" s="87"/>
    <row r="166" ht="15.75" customHeight="1" s="87"/>
    <row r="167" ht="15.75" customHeight="1" s="87"/>
    <row r="168" ht="15.75" customHeight="1" s="87"/>
    <row r="169" ht="15.75" customHeight="1" s="87"/>
    <row r="170" ht="15.75" customHeight="1" s="87"/>
    <row r="171" ht="15.75" customHeight="1" s="87"/>
    <row r="172" ht="15.75" customHeight="1" s="87"/>
    <row r="173" ht="15.75" customHeight="1" s="87"/>
    <row r="174" ht="15.75" customHeight="1" s="87"/>
    <row r="175" ht="15.75" customHeight="1" s="87"/>
    <row r="176" ht="15.75" customHeight="1" s="87"/>
    <row r="177" ht="15.75" customHeight="1" s="87"/>
    <row r="178" ht="15.75" customHeight="1" s="87"/>
    <row r="179" ht="15.75" customHeight="1" s="87"/>
    <row r="180" ht="15.75" customHeight="1" s="87"/>
    <row r="181" ht="15.75" customHeight="1" s="87"/>
    <row r="182" ht="15.75" customHeight="1" s="87"/>
    <row r="183" ht="15.75" customHeight="1" s="87"/>
    <row r="184" ht="15.75" customHeight="1" s="87"/>
    <row r="185" ht="15.75" customHeight="1" s="87"/>
    <row r="186" ht="15.75" customHeight="1" s="87"/>
    <row r="187" ht="15.75" customHeight="1" s="87"/>
    <row r="188" ht="15.75" customHeight="1" s="87"/>
    <row r="189" ht="15.75" customHeight="1" s="87"/>
    <row r="190" ht="15.75" customHeight="1" s="87"/>
    <row r="191" ht="15.75" customHeight="1" s="87"/>
    <row r="192" ht="15.75" customHeight="1" s="87"/>
    <row r="193" ht="15.75" customHeight="1" s="87"/>
    <row r="194" ht="15.75" customHeight="1" s="87"/>
    <row r="195" ht="15.75" customHeight="1" s="87"/>
    <row r="196" ht="15.75" customHeight="1" s="87"/>
    <row r="197" ht="15.75" customHeight="1" s="87"/>
    <row r="198" ht="15.75" customHeight="1" s="87"/>
    <row r="199" ht="15.75" customHeight="1" s="87"/>
    <row r="200" ht="15.75" customHeight="1" s="87"/>
    <row r="201" ht="15.75" customHeight="1" s="87"/>
    <row r="202" ht="15.75" customHeight="1" s="87"/>
    <row r="203" ht="15.75" customHeight="1" s="87"/>
    <row r="204" ht="15.75" customHeight="1" s="87"/>
    <row r="205" ht="15.75" customHeight="1" s="87"/>
    <row r="206" ht="15.75" customHeight="1" s="87"/>
    <row r="207" ht="15.75" customHeight="1" s="87"/>
    <row r="208" ht="15.75" customHeight="1" s="87"/>
    <row r="209" ht="15.75" customHeight="1" s="87"/>
    <row r="210" ht="15.75" customHeight="1" s="87"/>
    <row r="211" ht="15.75" customHeight="1" s="87"/>
    <row r="212" ht="15.75" customHeight="1" s="87"/>
    <row r="213" ht="15.75" customHeight="1" s="87"/>
    <row r="214" ht="15.75" customHeight="1" s="87"/>
    <row r="215" ht="15.75" customHeight="1" s="87"/>
    <row r="216" ht="15.75" customHeight="1" s="87"/>
    <row r="217" ht="15.75" customHeight="1" s="87"/>
    <row r="218" ht="15.75" customHeight="1" s="87"/>
    <row r="219" ht="15.75" customHeight="1" s="87"/>
    <row r="220" ht="15.75" customHeight="1" s="87"/>
    <row r="221" ht="15.75" customHeight="1" s="87"/>
    <row r="222" ht="15.75" customHeight="1" s="87"/>
    <row r="223" ht="15.75" customHeight="1" s="87"/>
    <row r="224" ht="15.75" customHeight="1" s="87"/>
    <row r="225" ht="15.75" customHeight="1" s="87"/>
    <row r="226" ht="15.75" customHeight="1" s="87"/>
    <row r="227" ht="15.75" customHeight="1" s="87"/>
    <row r="228" ht="15.75" customHeight="1" s="87"/>
    <row r="229" ht="15.75" customHeight="1" s="87"/>
    <row r="230" ht="15.75" customHeight="1" s="87"/>
    <row r="231" ht="15.75" customHeight="1" s="87"/>
    <row r="232" ht="15.75" customHeight="1" s="87"/>
    <row r="233" ht="15.75" customHeight="1" s="87"/>
    <row r="234" ht="15.75" customHeight="1" s="87"/>
    <row r="235" ht="15.75" customHeight="1" s="87"/>
    <row r="236" ht="15.75" customHeight="1" s="87"/>
    <row r="237" ht="15.75" customHeight="1" s="87"/>
    <row r="238" ht="15.75" customHeight="1" s="87"/>
    <row r="239" ht="15.75" customHeight="1" s="87"/>
    <row r="240" ht="15.75" customHeight="1" s="87"/>
    <row r="241" ht="15.75" customHeight="1" s="87"/>
    <row r="242" ht="15.75" customHeight="1" s="87"/>
    <row r="243" ht="15.75" customHeight="1" s="87"/>
    <row r="244" ht="15.75" customHeight="1" s="87"/>
    <row r="245" ht="15.75" customHeight="1" s="87"/>
    <row r="246" ht="15.75" customHeight="1" s="87"/>
    <row r="247" ht="15.75" customHeight="1" s="87"/>
    <row r="248" ht="15.75" customHeight="1" s="87"/>
    <row r="249" ht="15.75" customHeight="1" s="87"/>
    <row r="250" ht="15.75" customHeight="1" s="87"/>
    <row r="251" ht="15.75" customHeight="1" s="87"/>
    <row r="252" ht="15.75" customHeight="1" s="87"/>
    <row r="253" ht="15.75" customHeight="1" s="87"/>
    <row r="254" ht="15.75" customHeight="1" s="87"/>
    <row r="255" ht="15.75" customHeight="1" s="87"/>
    <row r="256" ht="15.75" customHeight="1" s="87"/>
    <row r="257" ht="15.75" customHeight="1" s="87"/>
    <row r="258" ht="15.75" customHeight="1" s="87"/>
    <row r="259" ht="15.75" customHeight="1" s="87"/>
    <row r="260" ht="15.75" customHeight="1" s="87"/>
    <row r="261" ht="15.75" customHeight="1" s="87"/>
    <row r="262" ht="15.75" customHeight="1" s="87"/>
    <row r="263" ht="15.75" customHeight="1" s="87"/>
    <row r="264" ht="15.75" customHeight="1" s="87"/>
    <row r="265" ht="15.75" customHeight="1" s="87"/>
    <row r="266" ht="15.75" customHeight="1" s="87"/>
    <row r="267" ht="15.75" customHeight="1" s="87"/>
    <row r="268" ht="15.75" customHeight="1" s="87"/>
    <row r="269" ht="15.75" customHeight="1" s="87"/>
    <row r="270" ht="15.75" customHeight="1" s="87"/>
    <row r="271" ht="15.75" customHeight="1" s="87"/>
    <row r="272" ht="15.75" customHeight="1" s="87"/>
    <row r="273" ht="15.75" customHeight="1" s="87"/>
    <row r="274" ht="15.75" customHeight="1" s="87"/>
    <row r="275" ht="15.75" customHeight="1" s="87"/>
    <row r="276" ht="15.75" customHeight="1" s="87"/>
    <row r="277" ht="15.75" customHeight="1" s="87"/>
    <row r="278" ht="15.75" customHeight="1" s="87"/>
    <row r="279" ht="15.75" customHeight="1" s="87"/>
    <row r="280" ht="15.75" customHeight="1" s="87"/>
    <row r="281" ht="15.75" customHeight="1" s="87"/>
    <row r="282" ht="15.75" customHeight="1" s="87"/>
    <row r="283" ht="15.75" customHeight="1" s="87"/>
    <row r="284" ht="15.75" customHeight="1" s="87"/>
    <row r="285" ht="15.75" customHeight="1" s="87"/>
    <row r="286" ht="15.75" customHeight="1" s="87"/>
    <row r="287" ht="15.75" customHeight="1" s="87"/>
    <row r="288" ht="15.75" customHeight="1" s="87"/>
    <row r="289" ht="15.75" customHeight="1" s="87"/>
    <row r="290" ht="15.75" customHeight="1" s="87"/>
    <row r="291" ht="15.75" customHeight="1" s="87"/>
    <row r="292" ht="15.75" customHeight="1" s="87"/>
    <row r="293" ht="15.75" customHeight="1" s="87"/>
    <row r="294" ht="15.75" customHeight="1" s="87"/>
    <row r="295" ht="15.75" customHeight="1" s="87"/>
    <row r="296" ht="15.75" customHeight="1" s="87"/>
    <row r="297" ht="15.75" customHeight="1" s="87"/>
    <row r="298" ht="15.75" customHeight="1" s="87"/>
    <row r="299" ht="15.75" customHeight="1" s="87"/>
    <row r="300" ht="15.75" customHeight="1" s="87"/>
    <row r="301" ht="15.75" customHeight="1" s="87"/>
    <row r="302" ht="15.75" customHeight="1" s="87"/>
    <row r="303" ht="15.75" customHeight="1" s="87"/>
    <row r="304" ht="15.75" customHeight="1" s="87"/>
    <row r="305" ht="15.75" customHeight="1" s="87"/>
    <row r="306" ht="15.75" customHeight="1" s="87"/>
    <row r="307" ht="15.75" customHeight="1" s="87"/>
    <row r="308" ht="15.75" customHeight="1" s="87"/>
    <row r="309" ht="15.75" customHeight="1" s="87"/>
    <row r="310" ht="15.75" customHeight="1" s="87"/>
    <row r="311" ht="15.75" customHeight="1" s="87"/>
    <row r="312" ht="15.75" customHeight="1" s="87"/>
    <row r="313" ht="15.75" customHeight="1" s="87"/>
    <row r="314" ht="15.75" customHeight="1" s="87"/>
    <row r="315" ht="15.75" customHeight="1" s="87"/>
    <row r="316" ht="15.75" customHeight="1" s="87"/>
    <row r="317" ht="15.75" customHeight="1" s="87"/>
    <row r="318" ht="15.75" customHeight="1" s="87"/>
    <row r="319" ht="15.75" customHeight="1" s="87"/>
    <row r="320" ht="15.75" customHeight="1" s="87"/>
    <row r="321" ht="15.75" customHeight="1" s="87"/>
    <row r="322" ht="15.75" customHeight="1" s="87"/>
    <row r="323" ht="15.75" customHeight="1" s="87"/>
    <row r="324" ht="15.75" customHeight="1" s="87"/>
    <row r="325" ht="15.75" customHeight="1" s="87"/>
    <row r="326" ht="15.75" customHeight="1" s="87"/>
    <row r="327" ht="15.75" customHeight="1" s="87"/>
    <row r="328" ht="15.75" customHeight="1" s="87"/>
    <row r="329" ht="15.75" customHeight="1" s="87"/>
    <row r="330" ht="15.75" customHeight="1" s="87"/>
    <row r="331" ht="15.75" customHeight="1" s="87"/>
    <row r="332" ht="15.75" customHeight="1" s="87"/>
    <row r="333" ht="15.75" customHeight="1" s="87"/>
    <row r="334" ht="15.75" customHeight="1" s="87"/>
    <row r="335" ht="15.75" customHeight="1" s="87"/>
    <row r="336" ht="15.75" customHeight="1" s="87"/>
    <row r="337" ht="15.75" customHeight="1" s="87"/>
    <row r="338" ht="15.75" customHeight="1" s="87"/>
    <row r="339" ht="15.75" customHeight="1" s="87"/>
    <row r="340" ht="15.75" customHeight="1" s="87"/>
    <row r="341" ht="15.75" customHeight="1" s="87"/>
    <row r="342" ht="15.75" customHeight="1" s="87"/>
    <row r="343" ht="15.75" customHeight="1" s="87"/>
    <row r="344" ht="15.75" customHeight="1" s="87"/>
    <row r="345" ht="15.75" customHeight="1" s="87"/>
    <row r="346" ht="15.75" customHeight="1" s="87"/>
    <row r="347" ht="15.75" customHeight="1" s="87"/>
    <row r="348" ht="15.75" customHeight="1" s="87"/>
    <row r="349" ht="15.75" customHeight="1" s="87"/>
    <row r="350" ht="15.75" customHeight="1" s="87"/>
    <row r="351" ht="15.75" customHeight="1" s="87"/>
    <row r="352" ht="15.75" customHeight="1" s="87"/>
    <row r="353" ht="15.75" customHeight="1" s="87"/>
    <row r="354" ht="15.75" customHeight="1" s="87"/>
    <row r="355" ht="15.75" customHeight="1" s="87"/>
    <row r="356" ht="15.75" customHeight="1" s="87"/>
    <row r="357" ht="15.75" customHeight="1" s="87"/>
    <row r="358" ht="15.75" customHeight="1" s="87"/>
    <row r="359" ht="15.75" customHeight="1" s="87"/>
    <row r="360" ht="15.75" customHeight="1" s="87"/>
    <row r="361" ht="15.75" customHeight="1" s="87"/>
    <row r="362" ht="15.75" customHeight="1" s="87"/>
    <row r="363" ht="15.75" customHeight="1" s="87"/>
    <row r="364" ht="15.75" customHeight="1" s="87"/>
    <row r="365" ht="15.75" customHeight="1" s="87"/>
    <row r="366" ht="15.75" customHeight="1" s="87"/>
    <row r="367" ht="15.75" customHeight="1" s="87"/>
    <row r="368" ht="15.75" customHeight="1" s="87"/>
    <row r="369" ht="15.75" customHeight="1" s="87"/>
    <row r="370" ht="15.75" customHeight="1" s="87"/>
    <row r="371" ht="15.75" customHeight="1" s="87"/>
    <row r="372" ht="15.75" customHeight="1" s="87"/>
    <row r="373" ht="15.75" customHeight="1" s="87"/>
    <row r="374" ht="15.75" customHeight="1" s="87"/>
    <row r="375" ht="15.75" customHeight="1" s="87"/>
    <row r="376" ht="15.75" customHeight="1" s="87"/>
    <row r="377" ht="15.75" customHeight="1" s="87"/>
    <row r="378" ht="15.75" customHeight="1" s="87"/>
    <row r="379" ht="15.75" customHeight="1" s="87"/>
    <row r="380" ht="15.75" customHeight="1" s="87"/>
    <row r="381" ht="15.75" customHeight="1" s="87"/>
    <row r="382" ht="15.75" customHeight="1" s="87"/>
    <row r="383" ht="15.75" customHeight="1" s="87"/>
    <row r="384" ht="15.75" customHeight="1" s="87"/>
    <row r="385" ht="15.75" customHeight="1" s="87"/>
    <row r="386" ht="15.75" customHeight="1" s="87"/>
    <row r="387" ht="15.75" customHeight="1" s="87"/>
    <row r="388" ht="15.75" customHeight="1" s="87"/>
    <row r="389" ht="15.75" customHeight="1" s="87"/>
    <row r="390" ht="15.75" customHeight="1" s="87"/>
    <row r="391" ht="15.75" customHeight="1" s="87"/>
    <row r="392" ht="15.75" customHeight="1" s="87"/>
    <row r="393" ht="15.75" customHeight="1" s="87"/>
    <row r="394" ht="15.75" customHeight="1" s="87"/>
    <row r="395" ht="15.75" customHeight="1" s="87"/>
    <row r="396" ht="15.75" customHeight="1" s="87"/>
    <row r="397" ht="15.75" customHeight="1" s="87"/>
    <row r="398" ht="15.75" customHeight="1" s="87"/>
    <row r="399" ht="15.75" customHeight="1" s="87"/>
    <row r="400" ht="15.75" customHeight="1" s="87"/>
    <row r="401" ht="15.75" customHeight="1" s="87"/>
    <row r="402" ht="15.75" customHeight="1" s="87"/>
    <row r="403" ht="15.75" customHeight="1" s="87"/>
    <row r="404" ht="15.75" customHeight="1" s="87"/>
    <row r="405" ht="15.75" customHeight="1" s="87"/>
    <row r="406" ht="15.75" customHeight="1" s="87"/>
    <row r="407" ht="15.75" customHeight="1" s="87"/>
    <row r="408" ht="15.75" customHeight="1" s="87"/>
    <row r="409" ht="15.75" customHeight="1" s="87"/>
    <row r="410" ht="15.75" customHeight="1" s="87"/>
    <row r="411" ht="15.75" customHeight="1" s="87"/>
    <row r="412" ht="15.75" customHeight="1" s="87"/>
    <row r="413" ht="15.75" customHeight="1" s="87"/>
    <row r="414" ht="15.75" customHeight="1" s="87"/>
    <row r="415" ht="15.75" customHeight="1" s="87"/>
    <row r="416" ht="15.75" customHeight="1" s="87"/>
    <row r="417" ht="15.75" customHeight="1" s="87"/>
    <row r="418" ht="15.75" customHeight="1" s="87"/>
    <row r="419" ht="15.75" customHeight="1" s="87"/>
    <row r="420" ht="15.75" customHeight="1" s="87"/>
    <row r="421" ht="15.75" customHeight="1" s="87"/>
    <row r="422" ht="15.75" customHeight="1" s="87"/>
    <row r="423" ht="15.75" customHeight="1" s="87"/>
    <row r="424" ht="15.75" customHeight="1" s="87"/>
    <row r="425" ht="15.75" customHeight="1" s="87"/>
    <row r="426" ht="15.75" customHeight="1" s="87"/>
    <row r="427" ht="15.75" customHeight="1" s="87"/>
    <row r="428" ht="15.75" customHeight="1" s="87"/>
    <row r="429" ht="15.75" customHeight="1" s="87"/>
    <row r="430" ht="15.75" customHeight="1" s="87"/>
    <row r="431" ht="15.75" customHeight="1" s="87"/>
    <row r="432" ht="15.75" customHeight="1" s="87"/>
    <row r="433" ht="15.75" customHeight="1" s="87"/>
    <row r="434" ht="15.75" customHeight="1" s="87"/>
    <row r="435" ht="15.75" customHeight="1" s="87"/>
    <row r="436" ht="15.75" customHeight="1" s="87"/>
    <row r="437" ht="15.75" customHeight="1" s="87"/>
    <row r="438" ht="15.75" customHeight="1" s="87"/>
    <row r="439" ht="15.75" customHeight="1" s="87"/>
    <row r="440" ht="15.75" customHeight="1" s="87"/>
    <row r="441" ht="15.75" customHeight="1" s="87"/>
    <row r="442" ht="15.75" customHeight="1" s="87"/>
    <row r="443" ht="15.75" customHeight="1" s="87"/>
    <row r="444" ht="15.75" customHeight="1" s="87"/>
    <row r="445" ht="15.75" customHeight="1" s="87"/>
    <row r="446" ht="15.75" customHeight="1" s="87"/>
    <row r="447" ht="15.75" customHeight="1" s="87"/>
    <row r="448" ht="15.75" customHeight="1" s="87"/>
    <row r="449" ht="15.75" customHeight="1" s="87"/>
    <row r="450" ht="15.75" customHeight="1" s="87"/>
    <row r="451" ht="15.75" customHeight="1" s="87"/>
    <row r="452" ht="15.75" customHeight="1" s="87"/>
    <row r="453" ht="15.75" customHeight="1" s="87"/>
    <row r="454" ht="15.75" customHeight="1" s="87"/>
    <row r="455" ht="15.75" customHeight="1" s="87"/>
    <row r="456" ht="15.75" customHeight="1" s="87"/>
    <row r="457" ht="15.75" customHeight="1" s="87"/>
    <row r="458" ht="15.75" customHeight="1" s="87"/>
    <row r="459" ht="15.75" customHeight="1" s="87"/>
    <row r="460" ht="15.75" customHeight="1" s="87"/>
    <row r="461" ht="15.75" customHeight="1" s="87"/>
    <row r="462" ht="15.75" customHeight="1" s="87"/>
    <row r="463" ht="15.75" customHeight="1" s="87"/>
    <row r="464" ht="15.75" customHeight="1" s="87"/>
    <row r="465" ht="15.75" customHeight="1" s="87"/>
    <row r="466" ht="15.75" customHeight="1" s="87"/>
    <row r="467" ht="15.75" customHeight="1" s="87"/>
    <row r="468" ht="15.75" customHeight="1" s="87"/>
    <row r="469" ht="15.75" customHeight="1" s="87"/>
    <row r="470" ht="15.75" customHeight="1" s="87"/>
    <row r="471" ht="15.75" customHeight="1" s="87"/>
    <row r="472" ht="15.75" customHeight="1" s="87"/>
    <row r="473" ht="15.75" customHeight="1" s="87"/>
    <row r="474" ht="15.75" customHeight="1" s="87"/>
    <row r="475" ht="15.75" customHeight="1" s="87"/>
    <row r="476" ht="15.75" customHeight="1" s="87"/>
    <row r="477" ht="15.75" customHeight="1" s="87"/>
    <row r="478" ht="15.75" customHeight="1" s="87"/>
    <row r="479" ht="15.75" customHeight="1" s="87"/>
    <row r="480" ht="15.75" customHeight="1" s="87"/>
    <row r="481" ht="15.75" customHeight="1" s="87"/>
    <row r="482" ht="15.75" customHeight="1" s="87"/>
    <row r="483" ht="15.75" customHeight="1" s="87"/>
    <row r="484" ht="15.75" customHeight="1" s="87"/>
    <row r="485" ht="15.75" customHeight="1" s="87"/>
    <row r="486" ht="15.75" customHeight="1" s="87"/>
    <row r="487" ht="15.75" customHeight="1" s="87"/>
    <row r="488" ht="15.75" customHeight="1" s="87"/>
    <row r="489" ht="15.75" customHeight="1" s="87"/>
    <row r="490" ht="15.75" customHeight="1" s="87"/>
    <row r="491" ht="15.75" customHeight="1" s="87"/>
    <row r="492" ht="15.75" customHeight="1" s="87"/>
    <row r="493" ht="15.75" customHeight="1" s="87"/>
    <row r="494" ht="15.75" customHeight="1" s="87"/>
    <row r="495" ht="15.75" customHeight="1" s="87"/>
    <row r="496" ht="15.75" customHeight="1" s="87"/>
    <row r="497" ht="15.75" customHeight="1" s="87"/>
    <row r="498" ht="15.75" customHeight="1" s="87"/>
    <row r="499" ht="15.75" customHeight="1" s="87"/>
    <row r="500" ht="15.75" customHeight="1" s="87"/>
    <row r="501" ht="15.75" customHeight="1" s="87"/>
    <row r="502" ht="15.75" customHeight="1" s="87"/>
    <row r="503" ht="15.75" customHeight="1" s="87"/>
    <row r="504" ht="15.75" customHeight="1" s="87"/>
    <row r="505" ht="15.75" customHeight="1" s="87"/>
    <row r="506" ht="15.75" customHeight="1" s="87"/>
    <row r="507" ht="15.75" customHeight="1" s="87"/>
    <row r="508" ht="15.75" customHeight="1" s="87"/>
    <row r="509" ht="15.75" customHeight="1" s="87"/>
    <row r="510" ht="15.75" customHeight="1" s="87"/>
    <row r="511" ht="15.75" customHeight="1" s="87"/>
    <row r="512" ht="15.75" customHeight="1" s="87"/>
    <row r="513" ht="15.75" customHeight="1" s="87"/>
    <row r="514" ht="15.75" customHeight="1" s="87"/>
    <row r="515" ht="15.75" customHeight="1" s="87"/>
    <row r="516" ht="15.75" customHeight="1" s="87"/>
    <row r="517" ht="15.75" customHeight="1" s="87"/>
    <row r="518" ht="15.75" customHeight="1" s="87"/>
    <row r="519" ht="15.75" customHeight="1" s="87"/>
    <row r="520" ht="15.75" customHeight="1" s="87"/>
    <row r="521" ht="15.75" customHeight="1" s="87"/>
    <row r="522" ht="15.75" customHeight="1" s="87"/>
    <row r="523" ht="15.75" customHeight="1" s="87"/>
    <row r="524" ht="15.75" customHeight="1" s="87"/>
    <row r="525" ht="15.75" customHeight="1" s="87"/>
    <row r="526" ht="15.75" customHeight="1" s="87"/>
    <row r="527" ht="15.75" customHeight="1" s="87"/>
    <row r="528" ht="15.75" customHeight="1" s="87"/>
    <row r="529" ht="15.75" customHeight="1" s="87"/>
    <row r="530" ht="15.75" customHeight="1" s="87"/>
    <row r="531" ht="15.75" customHeight="1" s="87"/>
    <row r="532" ht="15.75" customHeight="1" s="87"/>
    <row r="533" ht="15.75" customHeight="1" s="87"/>
    <row r="534" ht="15.75" customHeight="1" s="87"/>
    <row r="535" ht="15.75" customHeight="1" s="87"/>
    <row r="536" ht="15.75" customHeight="1" s="87"/>
    <row r="537" ht="15.75" customHeight="1" s="87"/>
    <row r="538" ht="15.75" customHeight="1" s="87"/>
    <row r="539" ht="15.75" customHeight="1" s="87"/>
    <row r="540" ht="15.75" customHeight="1" s="87"/>
    <row r="541" ht="15.75" customHeight="1" s="87"/>
    <row r="542" ht="15.75" customHeight="1" s="87"/>
    <row r="543" ht="15.75" customHeight="1" s="87"/>
    <row r="544" ht="15.75" customHeight="1" s="87"/>
    <row r="545" ht="15.75" customHeight="1" s="87"/>
    <row r="546" ht="15.75" customHeight="1" s="87"/>
    <row r="547" ht="15.75" customHeight="1" s="87"/>
    <row r="548" ht="15.75" customHeight="1" s="87"/>
    <row r="549" ht="15.75" customHeight="1" s="87"/>
    <row r="550" ht="15.75" customHeight="1" s="87"/>
    <row r="551" ht="15.75" customHeight="1" s="87"/>
    <row r="552" ht="15.75" customHeight="1" s="87"/>
    <row r="553" ht="15.75" customHeight="1" s="87"/>
    <row r="554" ht="15.75" customHeight="1" s="87"/>
    <row r="555" ht="15.75" customHeight="1" s="87"/>
    <row r="556" ht="15.75" customHeight="1" s="87"/>
    <row r="557" ht="15.75" customHeight="1" s="87"/>
    <row r="558" ht="15.75" customHeight="1" s="87"/>
    <row r="559" ht="15.75" customHeight="1" s="87"/>
    <row r="560" ht="15.75" customHeight="1" s="87"/>
    <row r="561" ht="15.75" customHeight="1" s="87"/>
    <row r="562" ht="15.75" customHeight="1" s="87"/>
    <row r="563" ht="15.75" customHeight="1" s="87"/>
    <row r="564" ht="15.75" customHeight="1" s="87"/>
    <row r="565" ht="15.75" customHeight="1" s="87"/>
    <row r="566" ht="15.75" customHeight="1" s="87"/>
    <row r="567" ht="15.75" customHeight="1" s="87"/>
    <row r="568" ht="15.75" customHeight="1" s="87"/>
    <row r="569" ht="15.75" customHeight="1" s="87"/>
    <row r="570" ht="15.75" customHeight="1" s="87"/>
    <row r="571" ht="15.75" customHeight="1" s="87"/>
    <row r="572" ht="15.75" customHeight="1" s="87"/>
    <row r="573" ht="15.75" customHeight="1" s="87"/>
    <row r="574" ht="15.75" customHeight="1" s="87"/>
    <row r="575" ht="15.75" customHeight="1" s="87"/>
    <row r="576" ht="15.75" customHeight="1" s="87"/>
    <row r="577" ht="15.75" customHeight="1" s="87"/>
    <row r="578" ht="15.75" customHeight="1" s="87"/>
    <row r="579" ht="15.75" customHeight="1" s="87"/>
    <row r="580" ht="15.75" customHeight="1" s="87"/>
    <row r="581" ht="15.75" customHeight="1" s="87"/>
    <row r="582" ht="15.75" customHeight="1" s="87"/>
    <row r="583" ht="15.75" customHeight="1" s="87"/>
    <row r="584" ht="15.75" customHeight="1" s="87"/>
    <row r="585" ht="15.75" customHeight="1" s="87"/>
    <row r="586" ht="15.75" customHeight="1" s="87"/>
    <row r="587" ht="15.75" customHeight="1" s="87"/>
    <row r="588" ht="15.75" customHeight="1" s="87"/>
    <row r="589" ht="15.75" customHeight="1" s="87"/>
    <row r="590" ht="15.75" customHeight="1" s="87"/>
    <row r="591" ht="15.75" customHeight="1" s="87"/>
    <row r="592" ht="15.75" customHeight="1" s="87"/>
    <row r="593" ht="15.75" customHeight="1" s="87"/>
    <row r="594" ht="15.75" customHeight="1" s="87"/>
    <row r="595" ht="15.75" customHeight="1" s="87"/>
    <row r="596" ht="15.75" customHeight="1" s="87"/>
    <row r="597" ht="15.75" customHeight="1" s="87"/>
    <row r="598" ht="15.75" customHeight="1" s="87"/>
    <row r="599" ht="15.75" customHeight="1" s="87"/>
    <row r="600" ht="15.75" customHeight="1" s="87"/>
    <row r="601" ht="15.75" customHeight="1" s="87"/>
    <row r="602" ht="15.75" customHeight="1" s="87"/>
    <row r="603" ht="15.75" customHeight="1" s="87"/>
    <row r="604" ht="15.75" customHeight="1" s="87"/>
    <row r="605" ht="15.75" customHeight="1" s="87"/>
    <row r="606" ht="15.75" customHeight="1" s="87"/>
    <row r="607" ht="15.75" customHeight="1" s="87"/>
    <row r="608" ht="15.75" customHeight="1" s="87"/>
    <row r="609" ht="15.75" customHeight="1" s="87"/>
    <row r="610" ht="15.75" customHeight="1" s="87"/>
    <row r="611" ht="15.75" customHeight="1" s="87"/>
    <row r="612" ht="15.75" customHeight="1" s="87"/>
    <row r="613" ht="15.75" customHeight="1" s="87"/>
    <row r="614" ht="15.75" customHeight="1" s="87"/>
    <row r="615" ht="15.75" customHeight="1" s="87"/>
    <row r="616" ht="15.75" customHeight="1" s="87"/>
    <row r="617" ht="15.75" customHeight="1" s="87"/>
    <row r="618" ht="15.75" customHeight="1" s="87"/>
    <row r="619" ht="15.75" customHeight="1" s="87"/>
    <row r="620" ht="15.75" customHeight="1" s="87"/>
    <row r="621" ht="15.75" customHeight="1" s="87"/>
    <row r="622" ht="15.75" customHeight="1" s="87"/>
    <row r="623" ht="15.75" customHeight="1" s="87"/>
    <row r="624" ht="15.75" customHeight="1" s="87"/>
    <row r="625" ht="15.75" customHeight="1" s="87"/>
    <row r="626" ht="15.75" customHeight="1" s="87"/>
    <row r="627" ht="15.75" customHeight="1" s="87"/>
    <row r="628" ht="15.75" customHeight="1" s="87"/>
    <row r="629" ht="15.75" customHeight="1" s="87"/>
    <row r="630" ht="15.75" customHeight="1" s="87"/>
    <row r="631" ht="15.75" customHeight="1" s="87"/>
    <row r="632" ht="15.75" customHeight="1" s="87"/>
    <row r="633" ht="15.75" customHeight="1" s="87"/>
    <row r="634" ht="15.75" customHeight="1" s="87"/>
    <row r="635" ht="15.75" customHeight="1" s="87"/>
    <row r="636" ht="15.75" customHeight="1" s="87"/>
    <row r="637" ht="15.75" customHeight="1" s="87"/>
    <row r="638" ht="15.75" customHeight="1" s="87"/>
    <row r="639" ht="15.75" customHeight="1" s="87"/>
    <row r="640" ht="15.75" customHeight="1" s="87"/>
    <row r="641" ht="15.75" customHeight="1" s="87"/>
    <row r="642" ht="15.75" customHeight="1" s="87"/>
    <row r="643" ht="15.75" customHeight="1" s="87"/>
    <row r="644" ht="15.75" customHeight="1" s="87"/>
    <row r="645" ht="15.75" customHeight="1" s="87"/>
    <row r="646" ht="15.75" customHeight="1" s="87"/>
    <row r="647" ht="15.75" customHeight="1" s="87"/>
    <row r="648" ht="15.75" customHeight="1" s="87"/>
    <row r="649" ht="15.75" customHeight="1" s="87"/>
    <row r="650" ht="15.75" customHeight="1" s="87"/>
    <row r="651" ht="15.75" customHeight="1" s="87"/>
    <row r="652" ht="15.75" customHeight="1" s="87"/>
    <row r="653" ht="15.75" customHeight="1" s="87"/>
    <row r="654" ht="15.75" customHeight="1" s="87"/>
    <row r="655" ht="15.75" customHeight="1" s="87"/>
    <row r="656" ht="15.75" customHeight="1" s="87"/>
    <row r="657" ht="15.75" customHeight="1" s="87"/>
    <row r="658" ht="15.75" customHeight="1" s="87"/>
    <row r="659" ht="15.75" customHeight="1" s="87"/>
    <row r="660" ht="15.75" customHeight="1" s="87"/>
    <row r="661" ht="15.75" customHeight="1" s="87"/>
    <row r="662" ht="15.75" customHeight="1" s="87"/>
    <row r="663" ht="15.75" customHeight="1" s="87"/>
    <row r="664" ht="15.75" customHeight="1" s="87"/>
    <row r="665" ht="15.75" customHeight="1" s="87"/>
    <row r="666" ht="15.75" customHeight="1" s="87"/>
    <row r="667" ht="15.75" customHeight="1" s="87"/>
    <row r="668" ht="15.75" customHeight="1" s="87"/>
    <row r="669" ht="15.75" customHeight="1" s="87"/>
    <row r="670" ht="15.75" customHeight="1" s="87"/>
    <row r="671" ht="15.75" customHeight="1" s="87"/>
    <row r="672" ht="15.75" customHeight="1" s="87"/>
    <row r="673" ht="15.75" customHeight="1" s="87"/>
    <row r="674" ht="15.75" customHeight="1" s="87"/>
    <row r="675" ht="15.75" customHeight="1" s="87"/>
    <row r="676" ht="15.75" customHeight="1" s="87"/>
    <row r="677" ht="15.75" customHeight="1" s="87"/>
    <row r="678" ht="15.75" customHeight="1" s="87"/>
    <row r="679" ht="15.75" customHeight="1" s="87"/>
    <row r="680" ht="15.75" customHeight="1" s="87"/>
    <row r="681" ht="15.75" customHeight="1" s="87"/>
    <row r="682" ht="15.75" customHeight="1" s="87"/>
    <row r="683" ht="15.75" customHeight="1" s="87"/>
    <row r="684" ht="15.75" customHeight="1" s="87"/>
    <row r="685" ht="15.75" customHeight="1" s="87"/>
    <row r="686" ht="15.75" customHeight="1" s="87"/>
    <row r="687" ht="15.75" customHeight="1" s="87"/>
    <row r="688" ht="15.75" customHeight="1" s="87"/>
    <row r="689" ht="15.75" customHeight="1" s="87"/>
    <row r="690" ht="15.75" customHeight="1" s="87"/>
    <row r="691" ht="15.75" customHeight="1" s="87"/>
    <row r="692" ht="15.75" customHeight="1" s="87"/>
    <row r="693" ht="15.75" customHeight="1" s="87"/>
    <row r="694" ht="15.75" customHeight="1" s="87"/>
    <row r="695" ht="15.75" customHeight="1" s="87"/>
    <row r="696" ht="15.75" customHeight="1" s="87"/>
    <row r="697" ht="15.75" customHeight="1" s="87"/>
    <row r="698" ht="15.75" customHeight="1" s="87"/>
    <row r="699" ht="15.75" customHeight="1" s="87"/>
    <row r="700" ht="15.75" customHeight="1" s="87"/>
    <row r="701" ht="15.75" customHeight="1" s="87"/>
    <row r="702" ht="15.75" customHeight="1" s="87"/>
    <row r="703" ht="15.75" customHeight="1" s="87"/>
    <row r="704" ht="15.75" customHeight="1" s="87"/>
    <row r="705" ht="15.75" customHeight="1" s="87"/>
    <row r="706" ht="15.75" customHeight="1" s="87"/>
    <row r="707" ht="15.75" customHeight="1" s="87"/>
    <row r="708" ht="15.75" customHeight="1" s="87"/>
    <row r="709" ht="15.75" customHeight="1" s="87"/>
    <row r="710" ht="15.75" customHeight="1" s="87"/>
    <row r="711" ht="15.75" customHeight="1" s="87"/>
    <row r="712" ht="15.75" customHeight="1" s="87"/>
    <row r="713" ht="15.75" customHeight="1" s="87"/>
    <row r="714" ht="15.75" customHeight="1" s="87"/>
    <row r="715" ht="15.75" customHeight="1" s="87"/>
    <row r="716" ht="15.75" customHeight="1" s="87"/>
    <row r="717" ht="15.75" customHeight="1" s="87"/>
    <row r="718" ht="15.75" customHeight="1" s="87"/>
    <row r="719" ht="15.75" customHeight="1" s="87"/>
    <row r="720" ht="15.75" customHeight="1" s="87"/>
    <row r="721" ht="15.75" customHeight="1" s="87"/>
    <row r="722" ht="15.75" customHeight="1" s="87"/>
    <row r="723" ht="15.75" customHeight="1" s="87"/>
    <row r="724" ht="15.75" customHeight="1" s="87"/>
    <row r="725" ht="15.75" customHeight="1" s="87"/>
    <row r="726" ht="15.75" customHeight="1" s="87"/>
    <row r="727" ht="15.75" customHeight="1" s="87"/>
    <row r="728" ht="15.75" customHeight="1" s="87"/>
    <row r="729" ht="15.75" customHeight="1" s="87"/>
    <row r="730" ht="15.75" customHeight="1" s="87"/>
    <row r="731" ht="15.75" customHeight="1" s="87"/>
    <row r="732" ht="15.75" customHeight="1" s="87"/>
    <row r="733" ht="15.75" customHeight="1" s="87"/>
    <row r="734" ht="15.75" customHeight="1" s="87"/>
    <row r="735" ht="15.75" customHeight="1" s="87"/>
    <row r="736" ht="15.75" customHeight="1" s="87"/>
    <row r="737" ht="15.75" customHeight="1" s="87"/>
    <row r="738" ht="15.75" customHeight="1" s="87"/>
    <row r="739" ht="15.75" customHeight="1" s="87"/>
    <row r="740" ht="15.75" customHeight="1" s="87"/>
    <row r="741" ht="15.75" customHeight="1" s="87"/>
    <row r="742" ht="15.75" customHeight="1" s="87"/>
    <row r="743" ht="15.75" customHeight="1" s="87"/>
    <row r="744" ht="15.75" customHeight="1" s="87"/>
    <row r="745" ht="15.75" customHeight="1" s="87"/>
    <row r="746" ht="15.75" customHeight="1" s="87"/>
    <row r="747" ht="15.75" customHeight="1" s="87"/>
    <row r="748" ht="15.75" customHeight="1" s="87"/>
    <row r="749" ht="15.75" customHeight="1" s="87"/>
    <row r="750" ht="15.75" customHeight="1" s="87"/>
    <row r="751" ht="15.75" customHeight="1" s="87"/>
    <row r="752" ht="15.75" customHeight="1" s="87"/>
    <row r="753" ht="15.75" customHeight="1" s="87"/>
    <row r="754" ht="15.75" customHeight="1" s="87"/>
    <row r="755" ht="15.75" customHeight="1" s="87"/>
    <row r="756" ht="15.75" customHeight="1" s="87"/>
    <row r="757" ht="15.75" customHeight="1" s="87"/>
    <row r="758" ht="15.75" customHeight="1" s="87"/>
    <row r="759" ht="15.75" customHeight="1" s="87"/>
    <row r="760" ht="15.75" customHeight="1" s="87"/>
    <row r="761" ht="15.75" customHeight="1" s="87"/>
    <row r="762" ht="15.75" customHeight="1" s="87"/>
    <row r="763" ht="15.75" customHeight="1" s="87"/>
    <row r="764" ht="15.75" customHeight="1" s="87"/>
    <row r="765" ht="15.75" customHeight="1" s="87"/>
    <row r="766" ht="15.75" customHeight="1" s="87"/>
    <row r="767" ht="15.75" customHeight="1" s="87"/>
    <row r="768" ht="15.75" customHeight="1" s="87"/>
    <row r="769" ht="15.75" customHeight="1" s="87"/>
    <row r="770" ht="15.75" customHeight="1" s="87"/>
    <row r="771" ht="15.75" customHeight="1" s="87"/>
    <row r="772" ht="15.75" customHeight="1" s="87"/>
    <row r="773" ht="15.75" customHeight="1" s="87"/>
    <row r="774" ht="15.75" customHeight="1" s="87"/>
    <row r="775" ht="15.75" customHeight="1" s="87"/>
    <row r="776" ht="15.75" customHeight="1" s="87"/>
    <row r="777" ht="15.75" customHeight="1" s="87"/>
    <row r="778" ht="15.75" customHeight="1" s="87"/>
    <row r="779" ht="15.75" customHeight="1" s="87"/>
    <row r="780" ht="15.75" customHeight="1" s="87"/>
    <row r="781" ht="15.75" customHeight="1" s="87"/>
    <row r="782" ht="15.75" customHeight="1" s="87"/>
    <row r="783" ht="15.75" customHeight="1" s="87"/>
    <row r="784" ht="15.75" customHeight="1" s="87"/>
    <row r="785" ht="15.75" customHeight="1" s="87"/>
    <row r="786" ht="15.75" customHeight="1" s="87"/>
    <row r="787" ht="15.75" customHeight="1" s="87"/>
    <row r="788" ht="15.75" customHeight="1" s="87"/>
    <row r="789" ht="15.75" customHeight="1" s="87"/>
    <row r="790" ht="15.75" customHeight="1" s="87"/>
    <row r="791" ht="15.75" customHeight="1" s="87"/>
    <row r="792" ht="15.75" customHeight="1" s="87"/>
    <row r="793" ht="15.75" customHeight="1" s="87"/>
    <row r="794" ht="15.75" customHeight="1" s="87"/>
    <row r="795" ht="15.75" customHeight="1" s="87"/>
    <row r="796" ht="15.75" customHeight="1" s="87"/>
    <row r="797" ht="15.75" customHeight="1" s="87"/>
    <row r="798" ht="15.75" customHeight="1" s="87"/>
    <row r="799" ht="15.75" customHeight="1" s="87"/>
    <row r="800" ht="15.75" customHeight="1" s="87"/>
    <row r="801" ht="15.75" customHeight="1" s="87"/>
    <row r="802" ht="15.75" customHeight="1" s="87"/>
    <row r="803" ht="15.75" customHeight="1" s="87"/>
    <row r="804" ht="15.75" customHeight="1" s="87"/>
    <row r="805" ht="15.75" customHeight="1" s="87"/>
    <row r="806" ht="15.75" customHeight="1" s="87"/>
    <row r="807" ht="15.75" customHeight="1" s="87"/>
    <row r="808" ht="15.75" customHeight="1" s="87"/>
    <row r="809" ht="15.75" customHeight="1" s="87"/>
    <row r="810" ht="15.75" customHeight="1" s="87"/>
    <row r="811" ht="15.75" customHeight="1" s="87"/>
    <row r="812" ht="15.75" customHeight="1" s="87"/>
    <row r="813" ht="15.75" customHeight="1" s="87"/>
    <row r="814" ht="15.75" customHeight="1" s="87"/>
    <row r="815" ht="15.75" customHeight="1" s="87"/>
    <row r="816" ht="15.75" customHeight="1" s="87"/>
    <row r="817" ht="15.75" customHeight="1" s="87"/>
    <row r="818" ht="15.75" customHeight="1" s="87"/>
    <row r="819" ht="15.75" customHeight="1" s="87"/>
    <row r="820" ht="15.75" customHeight="1" s="87"/>
    <row r="821" ht="15.75" customHeight="1" s="87"/>
    <row r="822" ht="15.75" customHeight="1" s="87"/>
    <row r="823" ht="15.75" customHeight="1" s="87"/>
    <row r="824" ht="15.75" customHeight="1" s="87"/>
    <row r="825" ht="15.75" customHeight="1" s="87"/>
    <row r="826" ht="15.75" customHeight="1" s="87"/>
    <row r="827" ht="15.75" customHeight="1" s="87"/>
    <row r="828" ht="15.75" customHeight="1" s="87"/>
    <row r="829" ht="15.75" customHeight="1" s="87"/>
    <row r="830" ht="15.75" customHeight="1" s="87"/>
    <row r="831" ht="15.75" customHeight="1" s="87"/>
    <row r="832" ht="15.75" customHeight="1" s="87"/>
    <row r="833" ht="15.75" customHeight="1" s="87"/>
    <row r="834" ht="15.75" customHeight="1" s="87"/>
    <row r="835" ht="15.75" customHeight="1" s="87"/>
    <row r="836" ht="15.75" customHeight="1" s="87"/>
    <row r="837" ht="15.75" customHeight="1" s="87"/>
    <row r="838" ht="15.75" customHeight="1" s="87"/>
    <row r="839" ht="15.75" customHeight="1" s="87"/>
    <row r="840" ht="15.75" customHeight="1" s="87"/>
    <row r="841" ht="15.75" customHeight="1" s="87"/>
    <row r="842" ht="15.75" customHeight="1" s="87"/>
    <row r="843" ht="15.75" customHeight="1" s="87"/>
    <row r="844" ht="15.75" customHeight="1" s="87"/>
    <row r="845" ht="15.75" customHeight="1" s="87"/>
    <row r="846" ht="15.75" customHeight="1" s="87"/>
    <row r="847" ht="15.75" customHeight="1" s="87"/>
    <row r="848" ht="15.75" customHeight="1" s="87"/>
    <row r="849" ht="15.75" customHeight="1" s="87"/>
    <row r="850" ht="15.75" customHeight="1" s="87"/>
    <row r="851" ht="15.75" customHeight="1" s="87"/>
    <row r="852" ht="15.75" customHeight="1" s="87"/>
    <row r="853" ht="15.75" customHeight="1" s="87"/>
    <row r="854" ht="15.75" customHeight="1" s="87"/>
    <row r="855" ht="15.75" customHeight="1" s="87"/>
    <row r="856" ht="15.75" customHeight="1" s="87"/>
    <row r="857" ht="15.75" customHeight="1" s="87"/>
    <row r="858" ht="15.75" customHeight="1" s="87"/>
    <row r="859" ht="15.75" customHeight="1" s="87"/>
    <row r="860" ht="15.75" customHeight="1" s="87"/>
    <row r="861" ht="15.75" customHeight="1" s="87"/>
    <row r="862" ht="15.75" customHeight="1" s="87"/>
    <row r="863" ht="15.75" customHeight="1" s="87"/>
    <row r="864" ht="15.75" customHeight="1" s="87"/>
    <row r="865" ht="15.75" customHeight="1" s="87"/>
    <row r="866" ht="15.75" customHeight="1" s="87"/>
    <row r="867" ht="15.75" customHeight="1" s="87"/>
    <row r="868" ht="15.75" customHeight="1" s="87"/>
    <row r="869" ht="15.75" customHeight="1" s="87"/>
    <row r="870" ht="15.75" customHeight="1" s="87"/>
    <row r="871" ht="15.75" customHeight="1" s="87"/>
    <row r="872" ht="15.75" customHeight="1" s="87"/>
    <row r="873" ht="15.75" customHeight="1" s="87"/>
    <row r="874" ht="15.75" customHeight="1" s="87"/>
    <row r="875" ht="15.75" customHeight="1" s="87"/>
    <row r="876" ht="15.75" customHeight="1" s="87"/>
    <row r="877" ht="15.75" customHeight="1" s="87"/>
    <row r="878" ht="15.75" customHeight="1" s="87"/>
    <row r="879" ht="15.75" customHeight="1" s="87"/>
    <row r="880" ht="15.75" customHeight="1" s="87"/>
    <row r="881" ht="15.75" customHeight="1" s="87"/>
    <row r="882" ht="15.75" customHeight="1" s="87"/>
    <row r="883" ht="15.75" customHeight="1" s="87"/>
    <row r="884" ht="15.75" customHeight="1" s="87"/>
    <row r="885" ht="15.75" customHeight="1" s="87"/>
    <row r="886" ht="15.75" customHeight="1" s="87"/>
    <row r="887" ht="15.75" customHeight="1" s="87"/>
    <row r="888" ht="15.75" customHeight="1" s="87"/>
    <row r="889" ht="15.75" customHeight="1" s="87"/>
    <row r="890" ht="15.75" customHeight="1" s="87"/>
    <row r="891" ht="15.75" customHeight="1" s="87"/>
    <row r="892" ht="15.75" customHeight="1" s="87"/>
    <row r="893" ht="15.75" customHeight="1" s="87"/>
    <row r="894" ht="15.75" customHeight="1" s="87"/>
    <row r="895" ht="15.75" customHeight="1" s="87"/>
    <row r="896" ht="15.75" customHeight="1" s="87"/>
    <row r="897" ht="15.75" customHeight="1" s="87"/>
    <row r="898" ht="15.75" customHeight="1" s="87"/>
    <row r="899" ht="15.75" customHeight="1" s="87"/>
    <row r="900" ht="15.75" customHeight="1" s="87"/>
    <row r="901" ht="15.75" customHeight="1" s="87"/>
    <row r="902" ht="15.75" customHeight="1" s="87"/>
    <row r="903" ht="15.75" customHeight="1" s="87"/>
    <row r="904" ht="15.75" customHeight="1" s="87"/>
    <row r="905" ht="15.75" customHeight="1" s="87"/>
    <row r="906" ht="15.75" customHeight="1" s="87"/>
    <row r="907" ht="15.75" customHeight="1" s="87"/>
    <row r="908" ht="15.75" customHeight="1" s="87"/>
    <row r="909" ht="15.75" customHeight="1" s="87"/>
    <row r="910" ht="15.75" customHeight="1" s="87"/>
    <row r="911" ht="15.75" customHeight="1" s="87"/>
    <row r="912" ht="15.75" customHeight="1" s="87"/>
    <row r="913" ht="15.75" customHeight="1" s="87"/>
    <row r="914" ht="15.75" customHeight="1" s="87"/>
    <row r="915" ht="15.75" customHeight="1" s="87"/>
    <row r="916" ht="15.75" customHeight="1" s="87"/>
    <row r="917" ht="15.75" customHeight="1" s="87"/>
    <row r="918" ht="15.75" customHeight="1" s="87"/>
    <row r="919" ht="15.75" customHeight="1" s="87"/>
    <row r="920" ht="15.75" customHeight="1" s="87"/>
    <row r="921" ht="15.75" customHeight="1" s="87"/>
    <row r="922" ht="15.75" customHeight="1" s="87"/>
    <row r="923" ht="15.75" customHeight="1" s="87"/>
    <row r="924" ht="15.75" customHeight="1" s="87"/>
    <row r="925" ht="15.75" customHeight="1" s="87"/>
    <row r="926" ht="15.75" customHeight="1" s="87"/>
    <row r="927" ht="15.75" customHeight="1" s="87"/>
    <row r="928" ht="15.75" customHeight="1" s="87"/>
    <row r="929" ht="15.75" customHeight="1" s="87"/>
    <row r="930" ht="15.75" customHeight="1" s="87"/>
    <row r="931" ht="15.75" customHeight="1" s="87"/>
    <row r="932" ht="15.75" customHeight="1" s="87"/>
    <row r="933" ht="15.75" customHeight="1" s="87"/>
    <row r="934" ht="15.75" customHeight="1" s="87"/>
    <row r="935" ht="15.75" customHeight="1" s="87"/>
    <row r="936" ht="15.75" customHeight="1" s="87"/>
    <row r="937" ht="15.75" customHeight="1" s="87"/>
    <row r="938" ht="15.75" customHeight="1" s="87"/>
    <row r="939" ht="15.75" customHeight="1" s="87"/>
    <row r="940" ht="15.75" customHeight="1" s="87"/>
    <row r="941" ht="15.75" customHeight="1" s="87"/>
    <row r="942" ht="15.75" customHeight="1" s="87"/>
    <row r="943" ht="15.75" customHeight="1" s="87"/>
    <row r="944" ht="15.75" customHeight="1" s="87"/>
    <row r="945" ht="15.75" customHeight="1" s="87"/>
    <row r="946" ht="15.75" customHeight="1" s="87"/>
    <row r="947" ht="15.75" customHeight="1" s="87"/>
    <row r="948" ht="15.75" customHeight="1" s="87"/>
    <row r="949" ht="15.75" customHeight="1" s="87"/>
    <row r="950" ht="15.75" customHeight="1" s="87"/>
    <row r="951" ht="15.75" customHeight="1" s="87"/>
    <row r="952" ht="15.75" customHeight="1" s="87"/>
    <row r="953" ht="15.75" customHeight="1" s="87"/>
    <row r="954" ht="15.75" customHeight="1" s="87"/>
    <row r="955" ht="15.75" customHeight="1" s="87"/>
    <row r="956" ht="15.75" customHeight="1" s="87"/>
    <row r="957" ht="15.75" customHeight="1" s="87"/>
    <row r="958" ht="15.75" customHeight="1" s="87"/>
    <row r="959" ht="15.75" customHeight="1" s="87"/>
    <row r="960" ht="15.75" customHeight="1" s="87"/>
    <row r="961" ht="15.75" customHeight="1" s="87"/>
    <row r="962" ht="15.75" customHeight="1" s="87"/>
    <row r="963" ht="15.75" customHeight="1" s="87"/>
    <row r="964" ht="15.75" customHeight="1" s="87"/>
    <row r="965" ht="15.75" customHeight="1" s="87"/>
    <row r="966" ht="15.75" customHeight="1" s="87"/>
    <row r="967" ht="15.75" customHeight="1" s="87"/>
    <row r="968" ht="15.75" customHeight="1" s="87"/>
    <row r="969" ht="15.75" customHeight="1" s="87"/>
    <row r="970" ht="15.75" customHeight="1" s="87"/>
    <row r="971" ht="15.75" customHeight="1" s="87"/>
    <row r="972" ht="15.75" customHeight="1" s="87"/>
    <row r="973" ht="15.75" customHeight="1" s="87"/>
    <row r="974" ht="15.75" customHeight="1" s="87"/>
    <row r="975" ht="15.75" customHeight="1" s="87"/>
    <row r="976" ht="15.75" customHeight="1" s="87"/>
    <row r="977" ht="15.75" customHeight="1" s="87"/>
    <row r="978" ht="15.75" customHeight="1" s="87"/>
    <row r="979" ht="15.75" customHeight="1" s="87"/>
    <row r="980" ht="15.75" customHeight="1" s="87"/>
    <row r="981" ht="15.75" customHeight="1" s="87"/>
    <row r="982" ht="15.75" customHeight="1" s="87"/>
    <row r="983" ht="15.75" customHeight="1" s="87"/>
    <row r="984" ht="15.75" customHeight="1" s="87"/>
    <row r="985" ht="15.75" customHeight="1" s="87"/>
    <row r="986" ht="15.75" customHeight="1" s="87"/>
    <row r="987" ht="15.75" customHeight="1" s="87"/>
    <row r="988" ht="15.75" customHeight="1" s="87"/>
    <row r="989" ht="15.75" customHeight="1" s="87"/>
    <row r="990" ht="15.75" customHeight="1" s="87"/>
    <row r="991" ht="15.75" customHeight="1" s="87"/>
    <row r="992" ht="15.75" customHeight="1" s="87"/>
    <row r="993" ht="15.75" customHeight="1" s="87"/>
    <row r="994" ht="15.75" customHeight="1" s="87"/>
    <row r="995" ht="15.75" customHeight="1" s="87"/>
    <row r="996" ht="15.75" customHeight="1" s="87"/>
    <row r="997" ht="15.75" customHeight="1" s="87"/>
    <row r="998" ht="15.75" customHeight="1" s="87"/>
    <row r="999" ht="15.75" customHeight="1" s="87"/>
    <row r="1000" ht="15.75" customHeight="1" s="87"/>
  </sheetData>
  <mergeCells count="1">
    <mergeCell ref="A1:AL1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L9"/>
  <sheetViews>
    <sheetView workbookViewId="0">
      <selection activeCell="A1" sqref="A1"/>
    </sheetView>
  </sheetViews>
  <sheetFormatPr baseColWidth="8" defaultColWidth="12.625" defaultRowHeight="15" customHeight="1"/>
  <cols>
    <col width="30" customWidth="1" style="5" min="1" max="1"/>
    <col width="10" customWidth="1" style="87" min="2" max="2"/>
    <col width="10" customWidth="1" style="87" min="3" max="27"/>
    <col width="10" customWidth="1" style="87" min="4" max="4"/>
    <col width="10" customWidth="1" style="87" min="5" max="5"/>
    <col width="10" customWidth="1" style="87" min="6" max="6"/>
    <col width="10" customWidth="1" style="87" min="7" max="7"/>
    <col width="10" customWidth="1" style="87" min="8" max="8"/>
    <col width="10" customWidth="1" style="87" min="9" max="9"/>
    <col width="10" customWidth="1" style="87" min="10" max="10"/>
    <col width="10" customWidth="1" style="87" min="11" max="11"/>
    <col width="10" customWidth="1" style="87" min="12" max="12"/>
    <col width="10" customWidth="1" style="87" min="13" max="13"/>
    <col width="10" customWidth="1" style="87" min="14" max="14"/>
    <col width="10" customWidth="1" style="87" min="15" max="15"/>
    <col width="10" customWidth="1" style="87" min="16" max="16"/>
    <col width="10" customWidth="1" style="87" min="17" max="17"/>
    <col width="10" customWidth="1" style="87" min="18" max="18"/>
    <col width="10" customWidth="1" style="87" min="19" max="19"/>
    <col width="10" customWidth="1" style="87" min="20" max="20"/>
    <col width="10" customWidth="1" style="87" min="21" max="21"/>
    <col width="10" customWidth="1" style="87" min="22" max="22"/>
    <col width="10" customWidth="1" style="87" min="23" max="23"/>
    <col width="10" customWidth="1" style="87" min="24" max="24"/>
    <col width="10" customWidth="1" style="87" min="25" max="25"/>
    <col width="10" customWidth="1" style="87" min="26" max="26"/>
    <col width="10" customWidth="1" style="87" min="27" max="27"/>
    <col width="10" customWidth="1" style="87" min="28" max="28"/>
    <col width="10" customWidth="1" style="87" min="29" max="29"/>
    <col width="10" customWidth="1" style="87" min="30" max="30"/>
    <col width="10" customWidth="1" style="87" min="31" max="31"/>
    <col width="10" customWidth="1" style="87" min="32" max="32"/>
    <col width="10" customWidth="1" style="87" min="33" max="33"/>
    <col width="10" customWidth="1" style="87" min="34" max="34"/>
    <col width="10" customWidth="1" style="87" min="35" max="35"/>
    <col width="10" customWidth="1" style="87" min="36" max="36"/>
    <col width="10" customWidth="1" style="87" min="37" max="37"/>
  </cols>
  <sheetData>
    <row r="1">
      <c r="A1" s="162" t="inlineStr">
        <is>
          <t>REVENUE BUILD (36 miesięcy)</t>
        </is>
      </c>
    </row>
    <row r="2" ht="13.5" customHeight="1" s="87">
      <c r="A2" s="163" t="inlineStr">
        <is>
          <t>Metric</t>
        </is>
      </c>
      <c r="B2" s="163" t="inlineStr">
        <is>
          <t>M1</t>
        </is>
      </c>
      <c r="C2" s="163" t="inlineStr">
        <is>
          <t>M2</t>
        </is>
      </c>
      <c r="D2" s="163" t="inlineStr">
        <is>
          <t>M3</t>
        </is>
      </c>
      <c r="E2" s="163" t="inlineStr">
        <is>
          <t>M4</t>
        </is>
      </c>
      <c r="F2" s="163" t="inlineStr">
        <is>
          <t>M5</t>
        </is>
      </c>
      <c r="G2" s="163" t="inlineStr">
        <is>
          <t>M6</t>
        </is>
      </c>
      <c r="H2" s="163" t="inlineStr">
        <is>
          <t>M7</t>
        </is>
      </c>
      <c r="I2" s="163" t="inlineStr">
        <is>
          <t>M8</t>
        </is>
      </c>
      <c r="J2" s="163" t="inlineStr">
        <is>
          <t>M9</t>
        </is>
      </c>
      <c r="K2" s="163" t="inlineStr">
        <is>
          <t>M10</t>
        </is>
      </c>
      <c r="L2" s="163" t="inlineStr">
        <is>
          <t>M11</t>
        </is>
      </c>
      <c r="M2" s="163" t="inlineStr">
        <is>
          <t>M12</t>
        </is>
      </c>
      <c r="N2" s="163" t="inlineStr">
        <is>
          <t>M13</t>
        </is>
      </c>
      <c r="O2" s="163" t="inlineStr">
        <is>
          <t>M14</t>
        </is>
      </c>
      <c r="P2" s="163" t="inlineStr">
        <is>
          <t>M15</t>
        </is>
      </c>
      <c r="Q2" s="163" t="inlineStr">
        <is>
          <t>M16</t>
        </is>
      </c>
      <c r="R2" s="163" t="inlineStr">
        <is>
          <t>M17</t>
        </is>
      </c>
      <c r="S2" s="163" t="inlineStr">
        <is>
          <t>M18</t>
        </is>
      </c>
      <c r="T2" s="163" t="inlineStr">
        <is>
          <t>M19</t>
        </is>
      </c>
      <c r="U2" s="163" t="inlineStr">
        <is>
          <t>M20</t>
        </is>
      </c>
      <c r="V2" s="163" t="inlineStr">
        <is>
          <t>M21</t>
        </is>
      </c>
      <c r="W2" s="163" t="inlineStr">
        <is>
          <t>M22</t>
        </is>
      </c>
      <c r="X2" s="163" t="inlineStr">
        <is>
          <t>M23</t>
        </is>
      </c>
      <c r="Y2" s="163" t="inlineStr">
        <is>
          <t>M24</t>
        </is>
      </c>
      <c r="Z2" s="163" t="inlineStr">
        <is>
          <t>M25</t>
        </is>
      </c>
      <c r="AA2" s="163" t="inlineStr">
        <is>
          <t>M26</t>
        </is>
      </c>
      <c r="AB2" s="163" t="inlineStr">
        <is>
          <t>M27</t>
        </is>
      </c>
      <c r="AC2" s="163" t="inlineStr">
        <is>
          <t>M28</t>
        </is>
      </c>
      <c r="AD2" s="163" t="inlineStr">
        <is>
          <t>M29</t>
        </is>
      </c>
      <c r="AE2" s="163" t="inlineStr">
        <is>
          <t>M30</t>
        </is>
      </c>
      <c r="AF2" s="163" t="inlineStr">
        <is>
          <t>M31</t>
        </is>
      </c>
      <c r="AG2" s="163" t="inlineStr">
        <is>
          <t>M32</t>
        </is>
      </c>
      <c r="AH2" s="163" t="inlineStr">
        <is>
          <t>M33</t>
        </is>
      </c>
      <c r="AI2" s="163" t="inlineStr">
        <is>
          <t>M34</t>
        </is>
      </c>
      <c r="AJ2" s="163" t="inlineStr">
        <is>
          <t>M35</t>
        </is>
      </c>
      <c r="AK2" s="163" t="inlineStr">
        <is>
          <t>M36</t>
        </is>
      </c>
      <c r="AL2" s="163" t="n"/>
    </row>
    <row r="3" ht="13.5" customHeight="1" s="87">
      <c r="A3" s="164" t="inlineStr">
        <is>
          <t>Model fee (one-off)</t>
        </is>
      </c>
      <c r="B3" s="165">
        <f>0+IF(AND(Input!$B31=1,1&gt;=Input!$B32),Input!$B34*30000,0)</f>
        <v/>
      </c>
      <c r="C3" s="165">
        <f>0+IF(AND(Input!$B31=1,2&gt;=Input!$B32),Input!$B34*30000,0)</f>
        <v/>
      </c>
      <c r="D3" s="165">
        <f>30000+IF(AND(Input!$B31=1,3&gt;=Input!$B32),Input!$B34*30000,0)</f>
        <v/>
      </c>
      <c r="E3" s="165">
        <f>30000+IF(AND(Input!$B31=1,4&gt;=Input!$B32),Input!$B34*30000,0)</f>
        <v/>
      </c>
      <c r="F3" s="165">
        <f>0+IF(AND(Input!$B31=1,5&gt;=Input!$B32),Input!$B34*30000,0)</f>
        <v/>
      </c>
      <c r="G3" s="165">
        <f>30000+IF(AND(Input!$B31=1,6&gt;=Input!$B32),Input!$B34*30000,0)</f>
        <v/>
      </c>
      <c r="H3" s="165">
        <f>0+IF(AND(Input!$B31=1,7&gt;=Input!$B32),Input!$B34*30000,0)</f>
        <v/>
      </c>
      <c r="I3" s="165">
        <f>30000+IF(AND(Input!$B31=1,8&gt;=Input!$B32),Input!$B34*30000,0)</f>
        <v/>
      </c>
      <c r="J3" s="165">
        <f>0+IF(AND(Input!$B31=1,9&gt;=Input!$B32),Input!$B34*30000,0)</f>
        <v/>
      </c>
      <c r="K3" s="165">
        <f>30000+IF(AND(Input!$B31=1,10&gt;=Input!$B32),Input!$B34*30000,0)</f>
        <v/>
      </c>
      <c r="L3" s="165">
        <f>0+IF(AND(Input!$B31=1,11&gt;=Input!$B32),Input!$B34*30000,0)</f>
        <v/>
      </c>
      <c r="M3" s="165">
        <f>0+IF(AND(Input!$B31=1,12&gt;=Input!$B32),Input!$B34*30000,0)</f>
        <v/>
      </c>
      <c r="N3" s="165">
        <f>0+IF(AND(Input!$B31=1,13&gt;=Input!$B32),Input!$B34*30000,0)</f>
        <v/>
      </c>
      <c r="O3" s="165">
        <f>0+IF(AND(Input!$B31=1,14&gt;=Input!$B32),Input!$B34*30000,0)</f>
        <v/>
      </c>
      <c r="P3" s="165">
        <f>0+IF(AND(Input!$B31=1,15&gt;=Input!$B32),Input!$B34*30000,0)</f>
        <v/>
      </c>
      <c r="Q3" s="165">
        <f>0+IF(AND(Input!$B31=1,16&gt;=Input!$B32),Input!$B34*30000,0)</f>
        <v/>
      </c>
      <c r="R3" s="165">
        <f>0+IF(AND(Input!$B31=1,17&gt;=Input!$B32),Input!$B34*30000,0)</f>
        <v/>
      </c>
      <c r="S3" s="165">
        <f>0+IF(AND(Input!$B31=1,18&gt;=Input!$B32),Input!$B34*30000,0)</f>
        <v/>
      </c>
      <c r="T3" s="165">
        <f>0+IF(AND(Input!$B31=1,19&gt;=Input!$B32),Input!$B34*30000,0)</f>
        <v/>
      </c>
      <c r="U3" s="165">
        <f>0+IF(AND(Input!$B31=1,20&gt;=Input!$B32),Input!$B34*30000,0)</f>
        <v/>
      </c>
      <c r="V3" s="165">
        <f>0+IF(AND(Input!$B31=1,21&gt;=Input!$B32),Input!$B34*30000,0)</f>
        <v/>
      </c>
      <c r="W3" s="165">
        <f>0+IF(AND(Input!$B31=1,22&gt;=Input!$B32),Input!$B34*30000,0)</f>
        <v/>
      </c>
      <c r="X3" s="165">
        <f>0+IF(AND(Input!$B31=1,23&gt;=Input!$B32),Input!$B34*30000,0)</f>
        <v/>
      </c>
      <c r="Y3" s="165">
        <f>0+IF(AND(Input!$B31=1,24&gt;=Input!$B32),Input!$B34*30000,0)</f>
        <v/>
      </c>
      <c r="Z3" s="165">
        <f>0+IF(AND(Input!$B31=1,25&gt;=Input!$B32),Input!$B34*30000,0)</f>
        <v/>
      </c>
      <c r="AA3" s="165">
        <f>0+IF(AND(Input!$B31=1,26&gt;=Input!$B32),Input!$B34*30000,0)</f>
        <v/>
      </c>
      <c r="AB3" s="165">
        <f>0+IF(AND(Input!$B31=1,27&gt;=Input!$B32),Input!$B34*30000,0)</f>
        <v/>
      </c>
      <c r="AC3" s="165">
        <f>0+IF(AND(Input!$B31=1,28&gt;=Input!$B32),Input!$B34*30000,0)</f>
        <v/>
      </c>
      <c r="AD3" s="165">
        <f>0+IF(AND(Input!$B31=1,29&gt;=Input!$B32),Input!$B34*30000,0)</f>
        <v/>
      </c>
      <c r="AE3" s="165">
        <f>0+IF(AND(Input!$B31=1,30&gt;=Input!$B32),Input!$B34*30000,0)</f>
        <v/>
      </c>
      <c r="AF3" s="165">
        <f>0+IF(AND(Input!$B31=1,31&gt;=Input!$B32),Input!$B34*30000,0)</f>
        <v/>
      </c>
      <c r="AG3" s="165">
        <f>0+IF(AND(Input!$B31=1,32&gt;=Input!$B32),Input!$B34*30000,0)</f>
        <v/>
      </c>
      <c r="AH3" s="165">
        <f>0+IF(AND(Input!$B31=1,33&gt;=Input!$B32),Input!$B34*30000,0)</f>
        <v/>
      </c>
      <c r="AI3" s="165">
        <f>0+IF(AND(Input!$B31=1,34&gt;=Input!$B32),Input!$B34*30000,0)</f>
        <v/>
      </c>
      <c r="AJ3" s="165">
        <f>0+IF(AND(Input!$B31=1,35&gt;=Input!$B32),Input!$B34*30000,0)</f>
        <v/>
      </c>
      <c r="AK3" s="165">
        <f>0+IF(AND(Input!$B31=1,36&gt;=Input!$B32),Input!$B34*30000,0)</f>
        <v/>
      </c>
    </row>
    <row r="4" ht="13.5" customHeight="1" s="87">
      <c r="A4" s="164" t="inlineStr">
        <is>
          <t>Nowi klienci</t>
        </is>
      </c>
      <c r="B4" s="172">
        <f>0+IF(AND(Input!$B31=1,1&gt;=Input!$B32),Input!$B34,0)</f>
        <v/>
      </c>
      <c r="C4" s="172">
        <f>0+IF(AND(Input!$B31=1,2&gt;=Input!$B32),Input!$B34,0)</f>
        <v/>
      </c>
      <c r="D4" s="172">
        <f>1+IF(AND(Input!$B31=1,3&gt;=Input!$B32),Input!$B34,0)</f>
        <v/>
      </c>
      <c r="E4" s="172">
        <f>1+IF(AND(Input!$B31=1,4&gt;=Input!$B32),Input!$B34,0)</f>
        <v/>
      </c>
      <c r="F4" s="172">
        <f>0+IF(AND(Input!$B31=1,5&gt;=Input!$B32),Input!$B34,0)</f>
        <v/>
      </c>
      <c r="G4" s="172">
        <f>1+IF(AND(Input!$B31=1,6&gt;=Input!$B32),Input!$B34,0)</f>
        <v/>
      </c>
      <c r="H4" s="172">
        <f>0+IF(AND(Input!$B31=1,7&gt;=Input!$B32),Input!$B34,0)</f>
        <v/>
      </c>
      <c r="I4" s="172">
        <f>1+IF(AND(Input!$B31=1,8&gt;=Input!$B32),Input!$B34,0)</f>
        <v/>
      </c>
      <c r="J4" s="172">
        <f>0+IF(AND(Input!$B31=1,9&gt;=Input!$B32),Input!$B34,0)</f>
        <v/>
      </c>
      <c r="K4" s="172">
        <f>1+IF(AND(Input!$B31=1,10&gt;=Input!$B32),Input!$B34,0)</f>
        <v/>
      </c>
      <c r="L4" s="172">
        <f>0+IF(AND(Input!$B31=1,11&gt;=Input!$B32),Input!$B34,0)</f>
        <v/>
      </c>
      <c r="M4" s="172">
        <f>0+IF(AND(Input!$B31=1,12&gt;=Input!$B32),Input!$B34,0)</f>
        <v/>
      </c>
      <c r="N4" s="172">
        <f>0+IF(AND(Input!$B31=1,13&gt;=Input!$B32),Input!$B34,0)</f>
        <v/>
      </c>
      <c r="O4" s="172">
        <f>0+IF(AND(Input!$B31=1,14&gt;=Input!$B32),Input!$B34,0)</f>
        <v/>
      </c>
      <c r="P4" s="172">
        <f>0+IF(AND(Input!$B31=1,15&gt;=Input!$B32),Input!$B34,0)</f>
        <v/>
      </c>
      <c r="Q4" s="172">
        <f>0+IF(AND(Input!$B31=1,16&gt;=Input!$B32),Input!$B34,0)</f>
        <v/>
      </c>
      <c r="R4" s="172">
        <f>0+IF(AND(Input!$B31=1,17&gt;=Input!$B32),Input!$B34,0)</f>
        <v/>
      </c>
      <c r="S4" s="172">
        <f>0+IF(AND(Input!$B31=1,18&gt;=Input!$B32),Input!$B34,0)</f>
        <v/>
      </c>
      <c r="T4" s="172">
        <f>0+IF(AND(Input!$B31=1,19&gt;=Input!$B32),Input!$B34,0)</f>
        <v/>
      </c>
      <c r="U4" s="172">
        <f>0+IF(AND(Input!$B31=1,20&gt;=Input!$B32),Input!$B34,0)</f>
        <v/>
      </c>
      <c r="V4" s="172">
        <f>0+IF(AND(Input!$B31=1,21&gt;=Input!$B32),Input!$B34,0)</f>
        <v/>
      </c>
      <c r="W4" s="172">
        <f>0+IF(AND(Input!$B31=1,22&gt;=Input!$B32),Input!$B34,0)</f>
        <v/>
      </c>
      <c r="X4" s="172">
        <f>0+IF(AND(Input!$B31=1,23&gt;=Input!$B32),Input!$B34,0)</f>
        <v/>
      </c>
      <c r="Y4" s="172">
        <f>0+IF(AND(Input!$B31=1,24&gt;=Input!$B32),Input!$B34,0)</f>
        <v/>
      </c>
      <c r="Z4" s="172">
        <f>0+IF(AND(Input!$B31=1,25&gt;=Input!$B32),Input!$B34,0)</f>
        <v/>
      </c>
      <c r="AA4" s="172">
        <f>0+IF(AND(Input!$B31=1,26&gt;=Input!$B32),Input!$B34,0)</f>
        <v/>
      </c>
      <c r="AB4" s="172">
        <f>0+IF(AND(Input!$B31=1,27&gt;=Input!$B32),Input!$B34,0)</f>
        <v/>
      </c>
      <c r="AC4" s="172">
        <f>0+IF(AND(Input!$B31=1,28&gt;=Input!$B32),Input!$B34,0)</f>
        <v/>
      </c>
      <c r="AD4" s="172">
        <f>0+IF(AND(Input!$B31=1,29&gt;=Input!$B32),Input!$B34,0)</f>
        <v/>
      </c>
      <c r="AE4" s="172">
        <f>0+IF(AND(Input!$B31=1,30&gt;=Input!$B32),Input!$B34,0)</f>
        <v/>
      </c>
      <c r="AF4" s="172">
        <f>0+IF(AND(Input!$B31=1,31&gt;=Input!$B32),Input!$B34,0)</f>
        <v/>
      </c>
      <c r="AG4" s="172">
        <f>0+IF(AND(Input!$B31=1,32&gt;=Input!$B32),Input!$B34,0)</f>
        <v/>
      </c>
      <c r="AH4" s="172">
        <f>0+IF(AND(Input!$B31=1,33&gt;=Input!$B32),Input!$B34,0)</f>
        <v/>
      </c>
      <c r="AI4" s="172">
        <f>0+IF(AND(Input!$B31=1,34&gt;=Input!$B32),Input!$B34,0)</f>
        <v/>
      </c>
      <c r="AJ4" s="172">
        <f>0+IF(AND(Input!$B31=1,35&gt;=Input!$B32),Input!$B34,0)</f>
        <v/>
      </c>
      <c r="AK4" s="172">
        <f>0+IF(AND(Input!$B31=1,36&gt;=Input!$B32),Input!$B34,0)</f>
        <v/>
      </c>
    </row>
    <row r="5" ht="13.5" customHeight="1" s="87">
      <c r="A5" s="164" t="inlineStr">
        <is>
          <t>Aktywni klienci (EOM)</t>
        </is>
      </c>
      <c r="B5" s="172">
        <f>B4</f>
        <v/>
      </c>
      <c r="C5" s="172">
        <f>B5+C4</f>
        <v/>
      </c>
      <c r="D5" s="172">
        <f>C5+D4</f>
        <v/>
      </c>
      <c r="E5" s="172">
        <f>D5+E4</f>
        <v/>
      </c>
      <c r="F5" s="172">
        <f>E5+F4</f>
        <v/>
      </c>
      <c r="G5" s="172">
        <f>F5+G4</f>
        <v/>
      </c>
      <c r="H5" s="172">
        <f>G5+H4</f>
        <v/>
      </c>
      <c r="I5" s="172">
        <f>H5+I4</f>
        <v/>
      </c>
      <c r="J5" s="172">
        <f>I5+J4</f>
        <v/>
      </c>
      <c r="K5" s="172">
        <f>J5+K4</f>
        <v/>
      </c>
      <c r="L5" s="172">
        <f>K5+L4</f>
        <v/>
      </c>
      <c r="M5" s="172">
        <f>L5+M4</f>
        <v/>
      </c>
      <c r="N5" s="172">
        <f>M5+N4</f>
        <v/>
      </c>
      <c r="O5" s="172">
        <f>N5+O4</f>
        <v/>
      </c>
      <c r="P5" s="172">
        <f>O5+P4</f>
        <v/>
      </c>
      <c r="Q5" s="172">
        <f>P5+Q4</f>
        <v/>
      </c>
      <c r="R5" s="172">
        <f>Q5+R4</f>
        <v/>
      </c>
      <c r="S5" s="172">
        <f>R5+S4</f>
        <v/>
      </c>
      <c r="T5" s="172">
        <f>S5+T4</f>
        <v/>
      </c>
      <c r="U5" s="172">
        <f>T5+U4</f>
        <v/>
      </c>
      <c r="V5" s="172">
        <f>U5+V4</f>
        <v/>
      </c>
      <c r="W5" s="172">
        <f>V5+W4</f>
        <v/>
      </c>
      <c r="X5" s="172">
        <f>W5+X4</f>
        <v/>
      </c>
      <c r="Y5" s="172">
        <f>X5+Y4</f>
        <v/>
      </c>
      <c r="Z5" s="172">
        <f>Y5+Z4</f>
        <v/>
      </c>
      <c r="AA5" s="172">
        <f>Z5+AA4</f>
        <v/>
      </c>
      <c r="AB5" s="172">
        <f>AA5+AB4</f>
        <v/>
      </c>
      <c r="AC5" s="172">
        <f>AB5+AC4</f>
        <v/>
      </c>
      <c r="AD5" s="172">
        <f>AC5+AD4</f>
        <v/>
      </c>
      <c r="AE5" s="172">
        <f>AD5+AE4</f>
        <v/>
      </c>
      <c r="AF5" s="172">
        <f>AE5+AF4</f>
        <v/>
      </c>
      <c r="AG5" s="172">
        <f>AF5+AG4</f>
        <v/>
      </c>
      <c r="AH5" s="172">
        <f>AG5+AH4</f>
        <v/>
      </c>
      <c r="AI5" s="172">
        <f>AH5+AI4</f>
        <v/>
      </c>
      <c r="AJ5" s="172">
        <f>AI5+AJ4</f>
        <v/>
      </c>
      <c r="AK5" s="172">
        <f>AJ5+AK4</f>
        <v/>
      </c>
    </row>
    <row r="6" ht="13.5" customHeight="1" s="87">
      <c r="A6" s="164" t="inlineStr">
        <is>
          <t>Subskrypcja / klient (EUR)</t>
        </is>
      </c>
      <c r="B6" s="165">
        <f>Input!$B5</f>
        <v/>
      </c>
      <c r="C6" s="165">
        <f>Input!$B5</f>
        <v/>
      </c>
      <c r="D6" s="165">
        <f>Input!$B5</f>
        <v/>
      </c>
      <c r="E6" s="165">
        <f>Input!$B5</f>
        <v/>
      </c>
      <c r="F6" s="165">
        <f>Input!$B5</f>
        <v/>
      </c>
      <c r="G6" s="165">
        <f>Input!$B5</f>
        <v/>
      </c>
      <c r="H6" s="165">
        <f>Input!$B5</f>
        <v/>
      </c>
      <c r="I6" s="165">
        <f>Input!$B5</f>
        <v/>
      </c>
      <c r="J6" s="165">
        <f>Input!$B5</f>
        <v/>
      </c>
      <c r="K6" s="165">
        <f>Input!$B5</f>
        <v/>
      </c>
      <c r="L6" s="165">
        <f>Input!$B5</f>
        <v/>
      </c>
      <c r="M6" s="165">
        <f>Input!$B5</f>
        <v/>
      </c>
      <c r="N6" s="165">
        <f>Input!$B5</f>
        <v/>
      </c>
      <c r="O6" s="165">
        <f>Input!$B5</f>
        <v/>
      </c>
      <c r="P6" s="165">
        <f>Input!$B5</f>
        <v/>
      </c>
      <c r="Q6" s="165">
        <f>Input!$B5</f>
        <v/>
      </c>
      <c r="R6" s="165">
        <f>Input!$B5</f>
        <v/>
      </c>
      <c r="S6" s="165">
        <f>Input!$B5</f>
        <v/>
      </c>
      <c r="T6" s="165">
        <f>Input!$B5</f>
        <v/>
      </c>
      <c r="U6" s="165">
        <f>Input!$B5</f>
        <v/>
      </c>
      <c r="V6" s="165">
        <f>Input!$B5</f>
        <v/>
      </c>
      <c r="W6" s="165">
        <f>Input!$B5</f>
        <v/>
      </c>
      <c r="X6" s="165">
        <f>Input!$B5</f>
        <v/>
      </c>
      <c r="Y6" s="165">
        <f>Input!$B5</f>
        <v/>
      </c>
      <c r="Z6" s="165">
        <f>Input!$B5</f>
        <v/>
      </c>
      <c r="AA6" s="165">
        <f>Input!$B5</f>
        <v/>
      </c>
      <c r="AB6" s="165">
        <f>Input!$B5</f>
        <v/>
      </c>
      <c r="AC6" s="165">
        <f>Input!$B5</f>
        <v/>
      </c>
      <c r="AD6" s="165">
        <f>Input!$B5</f>
        <v/>
      </c>
      <c r="AE6" s="165">
        <f>Input!$B5</f>
        <v/>
      </c>
      <c r="AF6" s="165">
        <f>Input!$B5</f>
        <v/>
      </c>
      <c r="AG6" s="165">
        <f>Input!$B5</f>
        <v/>
      </c>
      <c r="AH6" s="165">
        <f>Input!$B5</f>
        <v/>
      </c>
      <c r="AI6" s="165">
        <f>Input!$B5</f>
        <v/>
      </c>
      <c r="AJ6" s="165">
        <f>Input!$B5</f>
        <v/>
      </c>
      <c r="AK6" s="165">
        <f>Input!$B5</f>
        <v/>
      </c>
    </row>
    <row r="7" ht="13.5" customHeight="1" s="87">
      <c r="A7" s="164" t="inlineStr">
        <is>
          <t>Przychód z subskrypcji</t>
        </is>
      </c>
      <c r="B7" s="165">
        <f>B5*B6</f>
        <v/>
      </c>
      <c r="C7" s="165">
        <f>C5*C6</f>
        <v/>
      </c>
      <c r="D7" s="165">
        <f>D5*D6</f>
        <v/>
      </c>
      <c r="E7" s="165">
        <f>E5*E6</f>
        <v/>
      </c>
      <c r="F7" s="165">
        <f>F5*F6</f>
        <v/>
      </c>
      <c r="G7" s="165">
        <f>G5*G6</f>
        <v/>
      </c>
      <c r="H7" s="165">
        <f>H5*H6</f>
        <v/>
      </c>
      <c r="I7" s="165">
        <f>I5*I6</f>
        <v/>
      </c>
      <c r="J7" s="165">
        <f>J5*J6</f>
        <v/>
      </c>
      <c r="K7" s="165">
        <f>K5*K6</f>
        <v/>
      </c>
      <c r="L7" s="165">
        <f>L5*L6</f>
        <v/>
      </c>
      <c r="M7" s="165">
        <f>M5*M6</f>
        <v/>
      </c>
      <c r="N7" s="165">
        <f>N5*N6</f>
        <v/>
      </c>
      <c r="O7" s="165">
        <f>O5*O6</f>
        <v/>
      </c>
      <c r="P7" s="165">
        <f>P5*P6</f>
        <v/>
      </c>
      <c r="Q7" s="165">
        <f>Q5*Q6</f>
        <v/>
      </c>
      <c r="R7" s="165">
        <f>R5*R6</f>
        <v/>
      </c>
      <c r="S7" s="165">
        <f>S5*S6</f>
        <v/>
      </c>
      <c r="T7" s="165">
        <f>T5*T6</f>
        <v/>
      </c>
      <c r="U7" s="165">
        <f>U5*U6</f>
        <v/>
      </c>
      <c r="V7" s="165">
        <f>V5*V6</f>
        <v/>
      </c>
      <c r="W7" s="165">
        <f>W5*W6</f>
        <v/>
      </c>
      <c r="X7" s="165">
        <f>X5*X6</f>
        <v/>
      </c>
      <c r="Y7" s="165">
        <f>Y5*Y6</f>
        <v/>
      </c>
      <c r="Z7" s="165">
        <f>Z5*Z6</f>
        <v/>
      </c>
      <c r="AA7" s="165">
        <f>AA5*AA6</f>
        <v/>
      </c>
      <c r="AB7" s="165">
        <f>AB5*AB6</f>
        <v/>
      </c>
      <c r="AC7" s="165">
        <f>AC5*AC6</f>
        <v/>
      </c>
      <c r="AD7" s="165">
        <f>AD5*AD6</f>
        <v/>
      </c>
      <c r="AE7" s="165">
        <f>AE5*AE6</f>
        <v/>
      </c>
      <c r="AF7" s="165">
        <f>AF5*AF6</f>
        <v/>
      </c>
      <c r="AG7" s="165">
        <f>AG5*AG6</f>
        <v/>
      </c>
      <c r="AH7" s="165">
        <f>AH5*AH6</f>
        <v/>
      </c>
      <c r="AI7" s="165">
        <f>AI5*AI6</f>
        <v/>
      </c>
      <c r="AJ7" s="165">
        <f>AJ5*AJ6</f>
        <v/>
      </c>
      <c r="AK7" s="165">
        <f>AK5*AK6</f>
        <v/>
      </c>
    </row>
    <row r="8" ht="13.5" customHeight="1" s="87">
      <c r="A8" s="164" t="inlineStr">
        <is>
          <t>Łączny przychód miesięczny</t>
        </is>
      </c>
      <c r="B8" s="165">
        <f>B3+B7</f>
        <v/>
      </c>
      <c r="C8" s="165">
        <f>C3+C7</f>
        <v/>
      </c>
      <c r="D8" s="165">
        <f>D3+D7</f>
        <v/>
      </c>
      <c r="E8" s="165">
        <f>E3+E7</f>
        <v/>
      </c>
      <c r="F8" s="165">
        <f>F3+F7</f>
        <v/>
      </c>
      <c r="G8" s="165">
        <f>G3+G7</f>
        <v/>
      </c>
      <c r="H8" s="165">
        <f>H3+H7</f>
        <v/>
      </c>
      <c r="I8" s="165">
        <f>I3+I7</f>
        <v/>
      </c>
      <c r="J8" s="165">
        <f>J3+J7</f>
        <v/>
      </c>
      <c r="K8" s="165">
        <f>K3+K7</f>
        <v/>
      </c>
      <c r="L8" s="165">
        <f>L3+L7</f>
        <v/>
      </c>
      <c r="M8" s="165">
        <f>M3+M7</f>
        <v/>
      </c>
      <c r="N8" s="165">
        <f>N3+N7</f>
        <v/>
      </c>
      <c r="O8" s="165">
        <f>O3+O7</f>
        <v/>
      </c>
      <c r="P8" s="165">
        <f>P3+P7</f>
        <v/>
      </c>
      <c r="Q8" s="165">
        <f>Q3+Q7</f>
        <v/>
      </c>
      <c r="R8" s="165">
        <f>R3+R7</f>
        <v/>
      </c>
      <c r="S8" s="165">
        <f>S3+S7</f>
        <v/>
      </c>
      <c r="T8" s="165">
        <f>T3+T7</f>
        <v/>
      </c>
      <c r="U8" s="165">
        <f>U3+U7</f>
        <v/>
      </c>
      <c r="V8" s="165">
        <f>V3+V7</f>
        <v/>
      </c>
      <c r="W8" s="165">
        <f>W3+W7</f>
        <v/>
      </c>
      <c r="X8" s="165">
        <f>X3+X7</f>
        <v/>
      </c>
      <c r="Y8" s="165">
        <f>Y3+Y7</f>
        <v/>
      </c>
      <c r="Z8" s="165">
        <f>Z3+Z7</f>
        <v/>
      </c>
      <c r="AA8" s="165">
        <f>AA3+AA7</f>
        <v/>
      </c>
      <c r="AB8" s="165">
        <f>AB3+AB7</f>
        <v/>
      </c>
      <c r="AC8" s="165">
        <f>AC3+AC7</f>
        <v/>
      </c>
      <c r="AD8" s="165">
        <f>AD3+AD7</f>
        <v/>
      </c>
      <c r="AE8" s="165">
        <f>AE3+AE7</f>
        <v/>
      </c>
      <c r="AF8" s="165">
        <f>AF3+AF7</f>
        <v/>
      </c>
      <c r="AG8" s="165">
        <f>AG3+AG7</f>
        <v/>
      </c>
      <c r="AH8" s="165">
        <f>AH3+AH7</f>
        <v/>
      </c>
      <c r="AI8" s="165">
        <f>AI3+AI7</f>
        <v/>
      </c>
      <c r="AJ8" s="165">
        <f>AJ3+AJ7</f>
        <v/>
      </c>
      <c r="AK8" s="165">
        <f>AK3+AK7</f>
        <v/>
      </c>
    </row>
    <row r="9" ht="13.5" customHeight="1" s="87">
      <c r="A9" s="164" t="inlineStr">
        <is>
          <t>ARR (run-rate)</t>
        </is>
      </c>
      <c r="B9" s="165">
        <f>B7*12</f>
        <v/>
      </c>
      <c r="C9" s="165">
        <f>C7*12</f>
        <v/>
      </c>
      <c r="D9" s="165">
        <f>D7*12</f>
        <v/>
      </c>
      <c r="E9" s="165">
        <f>E7*12</f>
        <v/>
      </c>
      <c r="F9" s="165">
        <f>F7*12</f>
        <v/>
      </c>
      <c r="G9" s="165">
        <f>G7*12</f>
        <v/>
      </c>
      <c r="H9" s="165">
        <f>H7*12</f>
        <v/>
      </c>
      <c r="I9" s="165">
        <f>I7*12</f>
        <v/>
      </c>
      <c r="J9" s="165">
        <f>J7*12</f>
        <v/>
      </c>
      <c r="K9" s="165">
        <f>K7*12</f>
        <v/>
      </c>
      <c r="L9" s="165">
        <f>L7*12</f>
        <v/>
      </c>
      <c r="M9" s="165">
        <f>M7*12</f>
        <v/>
      </c>
      <c r="N9" s="165">
        <f>N7*12</f>
        <v/>
      </c>
      <c r="O9" s="165">
        <f>O7*12</f>
        <v/>
      </c>
      <c r="P9" s="165">
        <f>P7*12</f>
        <v/>
      </c>
      <c r="Q9" s="165">
        <f>Q7*12</f>
        <v/>
      </c>
      <c r="R9" s="165">
        <f>R7*12</f>
        <v/>
      </c>
      <c r="S9" s="165">
        <f>S7*12</f>
        <v/>
      </c>
      <c r="T9" s="165">
        <f>T7*12</f>
        <v/>
      </c>
      <c r="U9" s="165">
        <f>U7*12</f>
        <v/>
      </c>
      <c r="V9" s="165">
        <f>V7*12</f>
        <v/>
      </c>
      <c r="W9" s="165">
        <f>W7*12</f>
        <v/>
      </c>
      <c r="X9" s="165">
        <f>X7*12</f>
        <v/>
      </c>
      <c r="Y9" s="165">
        <f>Y7*12</f>
        <v/>
      </c>
      <c r="Z9" s="165">
        <f>Z7*12</f>
        <v/>
      </c>
      <c r="AA9" s="165">
        <f>AA7*12</f>
        <v/>
      </c>
      <c r="AB9" s="165">
        <f>AB7*12</f>
        <v/>
      </c>
      <c r="AC9" s="165">
        <f>AC7*12</f>
        <v/>
      </c>
      <c r="AD9" s="165">
        <f>AD7*12</f>
        <v/>
      </c>
      <c r="AE9" s="165">
        <f>AE7*12</f>
        <v/>
      </c>
      <c r="AF9" s="165">
        <f>AF7*12</f>
        <v/>
      </c>
      <c r="AG9" s="165">
        <f>AG7*12</f>
        <v/>
      </c>
      <c r="AH9" s="165">
        <f>AH7*12</f>
        <v/>
      </c>
      <c r="AI9" s="165">
        <f>AI7*12</f>
        <v/>
      </c>
      <c r="AJ9" s="165">
        <f>AJ7*12</f>
        <v/>
      </c>
      <c r="AK9" s="165">
        <f>AK7*12</f>
        <v/>
      </c>
    </row>
    <row r="10" ht="13.5" customHeight="1" s="87"/>
    <row r="11" ht="13.5" customHeight="1" s="87"/>
    <row r="12" ht="13.5" customHeight="1" s="87"/>
    <row r="13" ht="13.5" customHeight="1" s="87"/>
    <row r="14" ht="13.5" customHeight="1" s="87"/>
    <row r="15" ht="13.5" customHeight="1" s="87"/>
    <row r="16" ht="13.5" customHeight="1" s="87"/>
    <row r="17" ht="13.5" customHeight="1" s="87"/>
    <row r="18" ht="13.5" customHeight="1" s="87"/>
    <row r="19" ht="13.5" customHeight="1" s="87"/>
    <row r="20" ht="13.5" customHeight="1" s="87"/>
    <row r="21" ht="13.5" customHeight="1" s="87"/>
    <row r="22" ht="13.5" customHeight="1" s="87"/>
    <row r="23" ht="13.5" customHeight="1" s="87"/>
    <row r="24" ht="13.5" customHeight="1" s="87"/>
    <row r="25" ht="13.5" customHeight="1" s="87"/>
    <row r="26" ht="13.5" customHeight="1" s="87"/>
    <row r="27" ht="13.5" customHeight="1" s="87"/>
    <row r="28" ht="13.5" customHeight="1" s="87"/>
    <row r="29" ht="13.5" customHeight="1" s="87"/>
    <row r="30" ht="13.5" customHeight="1" s="87"/>
    <row r="31" ht="13.5" customHeight="1" s="87"/>
    <row r="32" ht="13.5" customHeight="1" s="87"/>
    <row r="33" ht="13.5" customHeight="1" s="87"/>
    <row r="34" ht="13.5" customHeight="1" s="87"/>
    <row r="35" ht="13.5" customHeight="1" s="87"/>
    <row r="36" ht="13.5" customHeight="1" s="87"/>
    <row r="37" ht="13.5" customHeight="1" s="87"/>
    <row r="38" ht="13.5" customHeight="1" s="87"/>
    <row r="39" ht="13.5" customHeight="1" s="87"/>
    <row r="40" ht="13.5" customHeight="1" s="87"/>
    <row r="41" ht="13.5" customHeight="1" s="87"/>
    <row r="42" ht="13.5" customHeight="1" s="87"/>
    <row r="43" ht="13.5" customHeight="1" s="87"/>
    <row r="44" ht="13.5" customHeight="1" s="87"/>
    <row r="45" ht="13.5" customHeight="1" s="87"/>
    <row r="46" ht="13.5" customHeight="1" s="87"/>
    <row r="47" ht="13.5" customHeight="1" s="87"/>
    <row r="48" ht="13.5" customHeight="1" s="87"/>
    <row r="49" ht="15.75" customHeight="1" s="87"/>
    <row r="50" ht="13.5" customHeight="1" s="87"/>
    <row r="51" ht="13.5" customHeight="1" s="87"/>
    <row r="52" ht="13.5" customHeight="1" s="87"/>
    <row r="53" ht="13.5" customHeight="1" s="87"/>
    <row r="54" ht="13.5" customHeight="1" s="87"/>
    <row r="55" ht="13.5" customHeight="1" s="87"/>
    <row r="56" ht="13.5" customHeight="1" s="87"/>
    <row r="57" ht="13.5" customHeight="1" s="87"/>
    <row r="58" ht="13.5" customHeight="1" s="87"/>
    <row r="59" ht="13.5" customHeight="1" s="87"/>
    <row r="60" ht="13.5" customHeight="1" s="87"/>
    <row r="61" ht="13.5" customHeight="1" s="87"/>
    <row r="62" ht="13.5" customHeight="1" s="87"/>
    <row r="63" ht="13.5" customHeight="1" s="87"/>
    <row r="64" ht="13.5" customHeight="1" s="87"/>
    <row r="65" ht="13.5" customHeight="1" s="87"/>
    <row r="66" ht="13.5" customHeight="1" s="87"/>
    <row r="67" ht="13.5" customHeight="1" s="87"/>
    <row r="68" ht="13.5" customHeight="1" s="87"/>
    <row r="69" ht="13.5" customHeight="1" s="87"/>
    <row r="70" ht="13.5" customHeight="1" s="87"/>
    <row r="71" ht="13.5" customHeight="1" s="87"/>
    <row r="72" ht="13.5" customHeight="1" s="87"/>
    <row r="73" ht="13.5" customHeight="1" s="87"/>
    <row r="74" ht="13.5" customHeight="1" s="87"/>
    <row r="75" ht="13.5" customHeight="1" s="87"/>
    <row r="76" ht="13.5" customHeight="1" s="87"/>
    <row r="77" ht="13.5" customHeight="1" s="87"/>
    <row r="78" ht="13.5" customHeight="1" s="87"/>
    <row r="79" ht="13.5" customHeight="1" s="87"/>
    <row r="80" ht="15.75" customHeight="1" s="87"/>
    <row r="81" ht="15.75" customHeight="1" s="87"/>
    <row r="82" ht="13.5" customHeight="1" s="87"/>
    <row r="83" ht="13.5" customHeight="1" s="87"/>
    <row r="84" ht="13.5" customHeight="1" s="87"/>
    <row r="85" ht="13.5" customHeight="1" s="87"/>
    <row r="86" ht="13.5" customHeight="1" s="87"/>
    <row r="87" ht="13.5" customHeight="1" s="87"/>
    <row r="88" ht="13.5" customHeight="1" s="87"/>
    <row r="89" ht="13.5" customHeight="1" s="87"/>
    <row r="90" ht="13.5" customHeight="1" s="87"/>
    <row r="91" ht="13.5" customHeight="1" s="87"/>
    <row r="92" ht="13.5" customHeight="1" s="87"/>
    <row r="93" ht="13.5" customHeight="1" s="87"/>
    <row r="94" ht="13.5" customHeight="1" s="87"/>
    <row r="95" ht="13.5" customHeight="1" s="87"/>
    <row r="96" ht="13.5" customHeight="1" s="87"/>
    <row r="97" ht="15.75" customHeight="1" s="87"/>
    <row r="98" ht="15.75" customHeight="1" s="87"/>
    <row r="99" ht="15.75" customHeight="1" s="87"/>
    <row r="100" ht="15.75" customHeight="1" s="87"/>
    <row r="101" ht="15.75" customHeight="1" s="87"/>
    <row r="102" ht="15.75" customHeight="1" s="87"/>
    <row r="103" ht="15.75" customHeight="1" s="87"/>
    <row r="104" ht="15.75" customHeight="1" s="87"/>
    <row r="105" ht="15.75" customHeight="1" s="87"/>
    <row r="106" ht="15.75" customHeight="1" s="87"/>
    <row r="107" ht="15.75" customHeight="1" s="87"/>
    <row r="108" ht="15.75" customHeight="1" s="87"/>
    <row r="109" ht="15.75" customHeight="1" s="87"/>
    <row r="110" ht="15.75" customHeight="1" s="87"/>
    <row r="111" ht="15.75" customHeight="1" s="87"/>
    <row r="112" ht="15.75" customHeight="1" s="87"/>
    <row r="113" ht="15.75" customHeight="1" s="87"/>
    <row r="114" ht="15.75" customHeight="1" s="87"/>
    <row r="115" ht="15.75" customHeight="1" s="87"/>
    <row r="116" ht="15.75" customHeight="1" s="87"/>
    <row r="117" ht="15.75" customHeight="1" s="87"/>
    <row r="118" ht="15.75" customHeight="1" s="87"/>
    <row r="119" ht="15.75" customHeight="1" s="87"/>
    <row r="120" ht="15.75" customHeight="1" s="87"/>
    <row r="121" ht="15.75" customHeight="1" s="87"/>
    <row r="122" ht="15.75" customHeight="1" s="87"/>
    <row r="123" ht="15.75" customHeight="1" s="87"/>
    <row r="124" ht="15.75" customHeight="1" s="87"/>
    <row r="125" ht="15.75" customHeight="1" s="87"/>
    <row r="126" ht="15.75" customHeight="1" s="87"/>
    <row r="127" ht="15.75" customHeight="1" s="87"/>
    <row r="128" ht="15.75" customHeight="1" s="87"/>
    <row r="129" ht="15.75" customHeight="1" s="87"/>
    <row r="130" ht="15.75" customHeight="1" s="87"/>
    <row r="131" ht="15.75" customHeight="1" s="87"/>
    <row r="132" ht="15.75" customHeight="1" s="87"/>
    <row r="133" ht="15.75" customHeight="1" s="87"/>
    <row r="134" ht="15.75" customHeight="1" s="87"/>
    <row r="135" ht="15.75" customHeight="1" s="87"/>
    <row r="136" ht="15.75" customHeight="1" s="87"/>
    <row r="137" ht="15.75" customHeight="1" s="87"/>
    <row r="138" ht="15.75" customHeight="1" s="87"/>
    <row r="139" ht="15.75" customHeight="1" s="87"/>
    <row r="140" ht="15.75" customHeight="1" s="87"/>
    <row r="141" ht="15.75" customHeight="1" s="87"/>
    <row r="142" ht="15.75" customHeight="1" s="87"/>
    <row r="143" ht="15.75" customHeight="1" s="87"/>
    <row r="144" ht="15.75" customHeight="1" s="87"/>
    <row r="145" ht="15.75" customHeight="1" s="87"/>
    <row r="146" ht="15.75" customHeight="1" s="87"/>
    <row r="147" ht="15.75" customHeight="1" s="87"/>
    <row r="148" ht="15.75" customHeight="1" s="87"/>
    <row r="149" ht="15.75" customHeight="1" s="87"/>
    <row r="150" ht="15.75" customHeight="1" s="87"/>
    <row r="151" ht="15.75" customHeight="1" s="87"/>
    <row r="152" ht="15.75" customHeight="1" s="87"/>
    <row r="153" ht="15.75" customHeight="1" s="87"/>
    <row r="154" ht="15.75" customHeight="1" s="87"/>
    <row r="155" ht="15.75" customHeight="1" s="87"/>
    <row r="156" ht="15.75" customHeight="1" s="87"/>
    <row r="157" ht="15.75" customHeight="1" s="87"/>
    <row r="158" ht="15.75" customHeight="1" s="87"/>
    <row r="159" ht="15.75" customHeight="1" s="87"/>
    <row r="160" ht="15.75" customHeight="1" s="87"/>
    <row r="161" ht="15.75" customHeight="1" s="87"/>
    <row r="162" ht="15.75" customHeight="1" s="87"/>
    <row r="163" ht="15.75" customHeight="1" s="87"/>
    <row r="164" ht="15.75" customHeight="1" s="87"/>
    <row r="165" ht="15.75" customHeight="1" s="87"/>
    <row r="166" ht="15.75" customHeight="1" s="87"/>
    <row r="167" ht="15.75" customHeight="1" s="87"/>
    <row r="168" ht="15.75" customHeight="1" s="87"/>
    <row r="169" ht="15.75" customHeight="1" s="87"/>
    <row r="170" ht="15.75" customHeight="1" s="87"/>
    <row r="171" ht="15.75" customHeight="1" s="87"/>
    <row r="172" ht="15.75" customHeight="1" s="87"/>
    <row r="173" ht="15.75" customHeight="1" s="87"/>
    <row r="174" ht="15.75" customHeight="1" s="87"/>
    <row r="175" ht="15.75" customHeight="1" s="87"/>
    <row r="176" ht="15.75" customHeight="1" s="87"/>
    <row r="177" ht="15.75" customHeight="1" s="87"/>
    <row r="178" ht="15.75" customHeight="1" s="87"/>
    <row r="179" ht="15.75" customHeight="1" s="87"/>
    <row r="180" ht="15.75" customHeight="1" s="87"/>
    <row r="181" ht="15.75" customHeight="1" s="87"/>
    <row r="182" ht="15.75" customHeight="1" s="87"/>
    <row r="183" ht="15.75" customHeight="1" s="87"/>
    <row r="184" ht="15.75" customHeight="1" s="87"/>
    <row r="185" ht="15.75" customHeight="1" s="87"/>
    <row r="186" ht="15.75" customHeight="1" s="87"/>
    <row r="187" ht="15.75" customHeight="1" s="87"/>
    <row r="188" ht="15.75" customHeight="1" s="87"/>
    <row r="189" ht="15.75" customHeight="1" s="87"/>
    <row r="190" ht="15.75" customHeight="1" s="87"/>
    <row r="191" ht="15.75" customHeight="1" s="87"/>
    <row r="192" ht="15.75" customHeight="1" s="87"/>
    <row r="193" ht="15.75" customHeight="1" s="87"/>
    <row r="194" ht="15.75" customHeight="1" s="87"/>
    <row r="195" ht="15.75" customHeight="1" s="87"/>
    <row r="196" ht="15.75" customHeight="1" s="87"/>
    <row r="197" ht="15.75" customHeight="1" s="87"/>
    <row r="198" ht="15.75" customHeight="1" s="87"/>
    <row r="199" ht="15.75" customHeight="1" s="87"/>
    <row r="200" ht="15.75" customHeight="1" s="87"/>
    <row r="201" ht="15.75" customHeight="1" s="87"/>
    <row r="202" ht="15.75" customHeight="1" s="87"/>
    <row r="203" ht="15.75" customHeight="1" s="87"/>
    <row r="204" ht="15.75" customHeight="1" s="87"/>
    <row r="205" ht="15.75" customHeight="1" s="87"/>
    <row r="206" ht="15.75" customHeight="1" s="87"/>
    <row r="207" ht="15.75" customHeight="1" s="87"/>
    <row r="208" ht="15.75" customHeight="1" s="87"/>
    <row r="209" ht="15.75" customHeight="1" s="87"/>
    <row r="210" ht="15.75" customHeight="1" s="87"/>
    <row r="211" ht="15.75" customHeight="1" s="87"/>
    <row r="212" ht="15.75" customHeight="1" s="87"/>
    <row r="213" ht="15.75" customHeight="1" s="87"/>
    <row r="214" ht="15.75" customHeight="1" s="87"/>
    <row r="215" ht="15.75" customHeight="1" s="87"/>
    <row r="216" ht="15.75" customHeight="1" s="87"/>
    <row r="217" ht="15.75" customHeight="1" s="87"/>
    <row r="218" ht="15.75" customHeight="1" s="87"/>
    <row r="219" ht="15.75" customHeight="1" s="87"/>
    <row r="220" ht="15.75" customHeight="1" s="87"/>
    <row r="221" ht="15.75" customHeight="1" s="87"/>
    <row r="222" ht="15.75" customHeight="1" s="87"/>
    <row r="223" ht="15.75" customHeight="1" s="87"/>
    <row r="224" ht="15.75" customHeight="1" s="87"/>
    <row r="225" ht="15.75" customHeight="1" s="87"/>
    <row r="226" ht="15.75" customHeight="1" s="87"/>
    <row r="227" ht="15.75" customHeight="1" s="87"/>
    <row r="228" ht="15.75" customHeight="1" s="87"/>
    <row r="229" ht="15.75" customHeight="1" s="87"/>
    <row r="230" ht="15.75" customHeight="1" s="87"/>
    <row r="231" ht="15.75" customHeight="1" s="87"/>
    <row r="232" ht="15.75" customHeight="1" s="87"/>
    <row r="233" ht="15.75" customHeight="1" s="87"/>
    <row r="234" ht="15.75" customHeight="1" s="87"/>
    <row r="235" ht="15.75" customHeight="1" s="87"/>
    <row r="236" ht="15.75" customHeight="1" s="87"/>
    <row r="237" ht="15.75" customHeight="1" s="87"/>
    <row r="238" ht="15.75" customHeight="1" s="87"/>
    <row r="239" ht="15.75" customHeight="1" s="87"/>
    <row r="240" ht="15.75" customHeight="1" s="87"/>
    <row r="241" ht="15.75" customHeight="1" s="87"/>
    <row r="242" ht="15.75" customHeight="1" s="87"/>
    <row r="243" ht="15.75" customHeight="1" s="87"/>
    <row r="244" ht="15.75" customHeight="1" s="87"/>
    <row r="245" ht="15.75" customHeight="1" s="87"/>
    <row r="246" ht="15.75" customHeight="1" s="87"/>
    <row r="247" ht="15.75" customHeight="1" s="87"/>
    <row r="248" ht="15.75" customHeight="1" s="87"/>
    <row r="249" ht="15.75" customHeight="1" s="87"/>
    <row r="250" ht="15.75" customHeight="1" s="87"/>
    <row r="251" ht="15.75" customHeight="1" s="87"/>
    <row r="252" ht="15.75" customHeight="1" s="87"/>
    <row r="253" ht="15.75" customHeight="1" s="87"/>
    <row r="254" ht="15.75" customHeight="1" s="87"/>
    <row r="255" ht="15.75" customHeight="1" s="87"/>
    <row r="256" ht="15.75" customHeight="1" s="87"/>
    <row r="257" ht="15.75" customHeight="1" s="87"/>
    <row r="258" ht="15.75" customHeight="1" s="87"/>
    <row r="259" ht="15.75" customHeight="1" s="87"/>
    <row r="260" ht="15.75" customHeight="1" s="87"/>
    <row r="261" ht="15.75" customHeight="1" s="87"/>
    <row r="262" ht="15.75" customHeight="1" s="87"/>
    <row r="263" ht="15.75" customHeight="1" s="87"/>
    <row r="264" ht="15.75" customHeight="1" s="87"/>
    <row r="265" ht="15.75" customHeight="1" s="87"/>
    <row r="266" ht="15.75" customHeight="1" s="87"/>
    <row r="267" ht="15.75" customHeight="1" s="87"/>
    <row r="268" ht="15.75" customHeight="1" s="87"/>
    <row r="269" ht="15.75" customHeight="1" s="87"/>
    <row r="270" ht="15.75" customHeight="1" s="87"/>
    <row r="271" ht="15.75" customHeight="1" s="87"/>
    <row r="272" ht="15.75" customHeight="1" s="87"/>
    <row r="273" ht="15.75" customHeight="1" s="87"/>
    <row r="274" ht="15.75" customHeight="1" s="87"/>
    <row r="275" ht="15.75" customHeight="1" s="87"/>
    <row r="276" ht="15.75" customHeight="1" s="87"/>
    <row r="277" ht="15.75" customHeight="1" s="87"/>
    <row r="278" ht="15.75" customHeight="1" s="87"/>
    <row r="279" ht="15.75" customHeight="1" s="87"/>
    <row r="280" ht="15.75" customHeight="1" s="87"/>
    <row r="281" ht="15.75" customHeight="1" s="87"/>
    <row r="282" ht="15.75" customHeight="1" s="87"/>
    <row r="283" ht="15.75" customHeight="1" s="87"/>
    <row r="284" ht="15.75" customHeight="1" s="87"/>
    <row r="285" ht="15.75" customHeight="1" s="87"/>
    <row r="286" ht="15.75" customHeight="1" s="87"/>
    <row r="287" ht="15.75" customHeight="1" s="87"/>
    <row r="288" ht="15.75" customHeight="1" s="87"/>
    <row r="289" ht="15.75" customHeight="1" s="87"/>
    <row r="290" ht="15.75" customHeight="1" s="87"/>
    <row r="291" ht="15.75" customHeight="1" s="87"/>
    <row r="292" ht="15.75" customHeight="1" s="87"/>
    <row r="293" ht="15.75" customHeight="1" s="87"/>
    <row r="294" ht="15.75" customHeight="1" s="87"/>
    <row r="295" ht="15.75" customHeight="1" s="87"/>
    <row r="296" ht="15.75" customHeight="1" s="87"/>
    <row r="297" ht="15.75" customHeight="1" s="87"/>
    <row r="298" ht="15.75" customHeight="1" s="87"/>
    <row r="299" ht="15.75" customHeight="1" s="87"/>
    <row r="300" ht="15.75" customHeight="1" s="87"/>
    <row r="301" ht="15.75" customHeight="1" s="87"/>
    <row r="302" ht="15.75" customHeight="1" s="87"/>
    <row r="303" ht="15.75" customHeight="1" s="87"/>
    <row r="304" ht="15.75" customHeight="1" s="87"/>
    <row r="305" ht="15.75" customHeight="1" s="87"/>
    <row r="306" ht="15.75" customHeight="1" s="87"/>
    <row r="307" ht="15.75" customHeight="1" s="87"/>
    <row r="308" ht="15.75" customHeight="1" s="87"/>
    <row r="309" ht="15.75" customHeight="1" s="87"/>
    <row r="310" ht="15.75" customHeight="1" s="87"/>
    <row r="311" ht="15.75" customHeight="1" s="87"/>
    <row r="312" ht="15.75" customHeight="1" s="87"/>
    <row r="313" ht="15.75" customHeight="1" s="87"/>
    <row r="314" ht="15.75" customHeight="1" s="87"/>
    <row r="315" ht="15.75" customHeight="1" s="87"/>
    <row r="316" ht="15.75" customHeight="1" s="87"/>
    <row r="317" ht="15.75" customHeight="1" s="87"/>
    <row r="318" ht="15.75" customHeight="1" s="87"/>
    <row r="319" ht="15.75" customHeight="1" s="87"/>
    <row r="320" ht="15.75" customHeight="1" s="87"/>
    <row r="321" ht="15.75" customHeight="1" s="87"/>
    <row r="322" ht="15.75" customHeight="1" s="87"/>
    <row r="323" ht="15.75" customHeight="1" s="87"/>
    <row r="324" ht="15.75" customHeight="1" s="87"/>
    <row r="325" ht="15.75" customHeight="1" s="87"/>
    <row r="326" ht="15.75" customHeight="1" s="87"/>
    <row r="327" ht="15.75" customHeight="1" s="87"/>
    <row r="328" ht="15.75" customHeight="1" s="87"/>
    <row r="329" ht="15.75" customHeight="1" s="87"/>
    <row r="330" ht="15.75" customHeight="1" s="87"/>
    <row r="331" ht="15.75" customHeight="1" s="87"/>
    <row r="332" ht="15.75" customHeight="1" s="87"/>
    <row r="333" ht="15.75" customHeight="1" s="87"/>
    <row r="334" ht="15.75" customHeight="1" s="87"/>
    <row r="335" ht="15.75" customHeight="1" s="87"/>
    <row r="336" ht="15.75" customHeight="1" s="87"/>
    <row r="337" ht="15.75" customHeight="1" s="87"/>
    <row r="338" ht="15.75" customHeight="1" s="87"/>
    <row r="339" ht="15.75" customHeight="1" s="87"/>
    <row r="340" ht="15.75" customHeight="1" s="87"/>
    <row r="341" ht="15.75" customHeight="1" s="87"/>
    <row r="342" ht="15.75" customHeight="1" s="87"/>
    <row r="343" ht="15.75" customHeight="1" s="87"/>
    <row r="344" ht="15.75" customHeight="1" s="87"/>
    <row r="345" ht="15.75" customHeight="1" s="87"/>
    <row r="346" ht="15.75" customHeight="1" s="87"/>
    <row r="347" ht="15.75" customHeight="1" s="87"/>
    <row r="348" ht="15.75" customHeight="1" s="87"/>
    <row r="349" ht="15.75" customHeight="1" s="87"/>
    <row r="350" ht="15.75" customHeight="1" s="87"/>
    <row r="351" ht="15.75" customHeight="1" s="87"/>
    <row r="352" ht="15.75" customHeight="1" s="87"/>
    <row r="353" ht="15.75" customHeight="1" s="87"/>
    <row r="354" ht="15.75" customHeight="1" s="87"/>
    <row r="355" ht="15.75" customHeight="1" s="87"/>
    <row r="356" ht="15.75" customHeight="1" s="87"/>
    <row r="357" ht="15.75" customHeight="1" s="87"/>
    <row r="358" ht="15.75" customHeight="1" s="87"/>
    <row r="359" ht="15.75" customHeight="1" s="87"/>
    <row r="360" ht="15.75" customHeight="1" s="87"/>
    <row r="361" ht="15.75" customHeight="1" s="87"/>
    <row r="362" ht="15.75" customHeight="1" s="87"/>
    <row r="363" ht="15.75" customHeight="1" s="87"/>
    <row r="364" ht="15.75" customHeight="1" s="87"/>
    <row r="365" ht="15.75" customHeight="1" s="87"/>
    <row r="366" ht="15.75" customHeight="1" s="87"/>
    <row r="367" ht="15.75" customHeight="1" s="87"/>
    <row r="368" ht="15.75" customHeight="1" s="87"/>
    <row r="369" ht="15.75" customHeight="1" s="87"/>
    <row r="370" ht="15.75" customHeight="1" s="87"/>
    <row r="371" ht="15.75" customHeight="1" s="87"/>
    <row r="372" ht="15.75" customHeight="1" s="87"/>
    <row r="373" ht="15.75" customHeight="1" s="87"/>
    <row r="374" ht="15.75" customHeight="1" s="87"/>
    <row r="375" ht="15.75" customHeight="1" s="87"/>
    <row r="376" ht="15.75" customHeight="1" s="87"/>
    <row r="377" ht="15.75" customHeight="1" s="87"/>
    <row r="378" ht="15.75" customHeight="1" s="87"/>
    <row r="379" ht="15.75" customHeight="1" s="87"/>
    <row r="380" ht="15.75" customHeight="1" s="87"/>
    <row r="381" ht="15.75" customHeight="1" s="87"/>
    <row r="382" ht="15.75" customHeight="1" s="87"/>
    <row r="383" ht="15.75" customHeight="1" s="87"/>
    <row r="384" ht="15.75" customHeight="1" s="87"/>
    <row r="385" ht="15.75" customHeight="1" s="87"/>
    <row r="386" ht="15.75" customHeight="1" s="87"/>
    <row r="387" ht="15.75" customHeight="1" s="87"/>
    <row r="388" ht="15.75" customHeight="1" s="87"/>
    <row r="389" ht="15.75" customHeight="1" s="87"/>
    <row r="390" ht="15.75" customHeight="1" s="87"/>
    <row r="391" ht="15.75" customHeight="1" s="87"/>
    <row r="392" ht="15.75" customHeight="1" s="87"/>
    <row r="393" ht="15.75" customHeight="1" s="87"/>
    <row r="394" ht="15.75" customHeight="1" s="87"/>
    <row r="395" ht="15.75" customHeight="1" s="87"/>
    <row r="396" ht="15.75" customHeight="1" s="87"/>
    <row r="397" ht="15.75" customHeight="1" s="87"/>
    <row r="398" ht="15.75" customHeight="1" s="87"/>
    <row r="399" ht="15.75" customHeight="1" s="87"/>
    <row r="400" ht="15.75" customHeight="1" s="87"/>
    <row r="401" ht="15.75" customHeight="1" s="87"/>
    <row r="402" ht="15.75" customHeight="1" s="87"/>
    <row r="403" ht="15.75" customHeight="1" s="87"/>
    <row r="404" ht="15.75" customHeight="1" s="87"/>
    <row r="405" ht="15.75" customHeight="1" s="87"/>
    <row r="406" ht="15.75" customHeight="1" s="87"/>
    <row r="407" ht="15.75" customHeight="1" s="87"/>
    <row r="408" ht="15.75" customHeight="1" s="87"/>
    <row r="409" ht="15.75" customHeight="1" s="87"/>
    <row r="410" ht="15.75" customHeight="1" s="87"/>
    <row r="411" ht="15.75" customHeight="1" s="87"/>
    <row r="412" ht="15.75" customHeight="1" s="87"/>
    <row r="413" ht="15.75" customHeight="1" s="87"/>
    <row r="414" ht="15.75" customHeight="1" s="87"/>
    <row r="415" ht="15.75" customHeight="1" s="87"/>
    <row r="416" ht="15.75" customHeight="1" s="87"/>
    <row r="417" ht="15.75" customHeight="1" s="87"/>
    <row r="418" ht="15.75" customHeight="1" s="87"/>
    <row r="419" ht="15.75" customHeight="1" s="87"/>
    <row r="420" ht="15.75" customHeight="1" s="87"/>
    <row r="421" ht="15.75" customHeight="1" s="87"/>
    <row r="422" ht="15.75" customHeight="1" s="87"/>
    <row r="423" ht="15.75" customHeight="1" s="87"/>
    <row r="424" ht="15.75" customHeight="1" s="87"/>
    <row r="425" ht="15.75" customHeight="1" s="87"/>
    <row r="426" ht="15.75" customHeight="1" s="87"/>
    <row r="427" ht="15.75" customHeight="1" s="87"/>
    <row r="428" ht="15.75" customHeight="1" s="87"/>
    <row r="429" ht="15.75" customHeight="1" s="87"/>
    <row r="430" ht="15.75" customHeight="1" s="87"/>
    <row r="431" ht="15.75" customHeight="1" s="87"/>
    <row r="432" ht="15.75" customHeight="1" s="87"/>
    <row r="433" ht="15.75" customHeight="1" s="87"/>
    <row r="434" ht="15.75" customHeight="1" s="87"/>
    <row r="435" ht="15.75" customHeight="1" s="87"/>
    <row r="436" ht="15.75" customHeight="1" s="87"/>
    <row r="437" ht="15.75" customHeight="1" s="87"/>
    <row r="438" ht="15.75" customHeight="1" s="87"/>
    <row r="439" ht="15.75" customHeight="1" s="87"/>
    <row r="440" ht="15.75" customHeight="1" s="87"/>
    <row r="441" ht="15.75" customHeight="1" s="87"/>
    <row r="442" ht="15.75" customHeight="1" s="87"/>
    <row r="443" ht="15.75" customHeight="1" s="87"/>
    <row r="444" ht="15.75" customHeight="1" s="87"/>
    <row r="445" ht="15.75" customHeight="1" s="87"/>
    <row r="446" ht="15.75" customHeight="1" s="87"/>
    <row r="447" ht="15.75" customHeight="1" s="87"/>
    <row r="448" ht="15.75" customHeight="1" s="87"/>
    <row r="449" ht="15.75" customHeight="1" s="87"/>
    <row r="450" ht="15.75" customHeight="1" s="87"/>
    <row r="451" ht="15.75" customHeight="1" s="87"/>
    <row r="452" ht="15.75" customHeight="1" s="87"/>
    <row r="453" ht="15.75" customHeight="1" s="87"/>
    <row r="454" ht="15.75" customHeight="1" s="87"/>
    <row r="455" ht="15.75" customHeight="1" s="87"/>
    <row r="456" ht="15.75" customHeight="1" s="87"/>
    <row r="457" ht="15.75" customHeight="1" s="87"/>
    <row r="458" ht="15.75" customHeight="1" s="87"/>
    <row r="459" ht="15.75" customHeight="1" s="87"/>
    <row r="460" ht="15.75" customHeight="1" s="87"/>
    <row r="461" ht="15.75" customHeight="1" s="87"/>
    <row r="462" ht="15.75" customHeight="1" s="87"/>
    <row r="463" ht="15.75" customHeight="1" s="87"/>
    <row r="464" ht="15.75" customHeight="1" s="87"/>
    <row r="465" ht="15.75" customHeight="1" s="87"/>
    <row r="466" ht="15.75" customHeight="1" s="87"/>
    <row r="467" ht="15.75" customHeight="1" s="87"/>
    <row r="468" ht="15.75" customHeight="1" s="87"/>
    <row r="469" ht="15.75" customHeight="1" s="87"/>
    <row r="470" ht="15.75" customHeight="1" s="87"/>
    <row r="471" ht="15.75" customHeight="1" s="87"/>
    <row r="472" ht="15.75" customHeight="1" s="87"/>
    <row r="473" ht="15.75" customHeight="1" s="87"/>
    <row r="474" ht="15.75" customHeight="1" s="87"/>
    <row r="475" ht="15.75" customHeight="1" s="87"/>
    <row r="476" ht="15.75" customHeight="1" s="87"/>
    <row r="477" ht="15.75" customHeight="1" s="87"/>
    <row r="478" ht="15.75" customHeight="1" s="87"/>
    <row r="479" ht="15.75" customHeight="1" s="87"/>
    <row r="480" ht="15.75" customHeight="1" s="87"/>
    <row r="481" ht="15.75" customHeight="1" s="87"/>
    <row r="482" ht="15.75" customHeight="1" s="87"/>
    <row r="483" ht="15.75" customHeight="1" s="87"/>
    <row r="484" ht="15.75" customHeight="1" s="87"/>
    <row r="485" ht="15.75" customHeight="1" s="87"/>
    <row r="486" ht="15.75" customHeight="1" s="87"/>
    <row r="487" ht="15.75" customHeight="1" s="87"/>
    <row r="488" ht="15.75" customHeight="1" s="87"/>
    <row r="489" ht="15.75" customHeight="1" s="87"/>
    <row r="490" ht="15.75" customHeight="1" s="87"/>
    <row r="491" ht="15.75" customHeight="1" s="87"/>
    <row r="492" ht="15.75" customHeight="1" s="87"/>
    <row r="493" ht="15.75" customHeight="1" s="87"/>
    <row r="494" ht="15.75" customHeight="1" s="87"/>
    <row r="495" ht="15.75" customHeight="1" s="87"/>
    <row r="496" ht="15.75" customHeight="1" s="87"/>
    <row r="497" ht="15.75" customHeight="1" s="87"/>
    <row r="498" ht="15.75" customHeight="1" s="87"/>
    <row r="499" ht="15.75" customHeight="1" s="87"/>
    <row r="500" ht="15.75" customHeight="1" s="87"/>
    <row r="501" ht="15.75" customHeight="1" s="87"/>
    <row r="502" ht="15.75" customHeight="1" s="87"/>
    <row r="503" ht="15.75" customHeight="1" s="87"/>
    <row r="504" ht="15.75" customHeight="1" s="87"/>
    <row r="505" ht="15.75" customHeight="1" s="87"/>
    <row r="506" ht="15.75" customHeight="1" s="87"/>
    <row r="507" ht="15.75" customHeight="1" s="87"/>
    <row r="508" ht="15.75" customHeight="1" s="87"/>
    <row r="509" ht="15.75" customHeight="1" s="87"/>
    <row r="510" ht="15.75" customHeight="1" s="87"/>
    <row r="511" ht="15.75" customHeight="1" s="87"/>
    <row r="512" ht="15.75" customHeight="1" s="87"/>
    <row r="513" ht="15.75" customHeight="1" s="87"/>
    <row r="514" ht="15.75" customHeight="1" s="87"/>
    <row r="515" ht="15.75" customHeight="1" s="87"/>
    <row r="516" ht="15.75" customHeight="1" s="87"/>
    <row r="517" ht="15.75" customHeight="1" s="87"/>
    <row r="518" ht="15.75" customHeight="1" s="87"/>
    <row r="519" ht="15.75" customHeight="1" s="87"/>
    <row r="520" ht="15.75" customHeight="1" s="87"/>
    <row r="521" ht="15.75" customHeight="1" s="87"/>
    <row r="522" ht="15.75" customHeight="1" s="87"/>
    <row r="523" ht="15.75" customHeight="1" s="87"/>
    <row r="524" ht="15.75" customHeight="1" s="87"/>
    <row r="525" ht="15.75" customHeight="1" s="87"/>
    <row r="526" ht="15.75" customHeight="1" s="87"/>
    <row r="527" ht="15.75" customHeight="1" s="87"/>
    <row r="528" ht="15.75" customHeight="1" s="87"/>
    <row r="529" ht="15.75" customHeight="1" s="87"/>
    <row r="530" ht="15.75" customHeight="1" s="87"/>
    <row r="531" ht="15.75" customHeight="1" s="87"/>
    <row r="532" ht="15.75" customHeight="1" s="87"/>
    <row r="533" ht="15.75" customHeight="1" s="87"/>
    <row r="534" ht="15.75" customHeight="1" s="87"/>
    <row r="535" ht="15.75" customHeight="1" s="87"/>
    <row r="536" ht="15.75" customHeight="1" s="87"/>
    <row r="537" ht="15.75" customHeight="1" s="87"/>
    <row r="538" ht="15.75" customHeight="1" s="87"/>
    <row r="539" ht="15.75" customHeight="1" s="87"/>
    <row r="540" ht="15.75" customHeight="1" s="87"/>
    <row r="541" ht="15.75" customHeight="1" s="87"/>
    <row r="542" ht="15.75" customHeight="1" s="87"/>
    <row r="543" ht="15.75" customHeight="1" s="87"/>
    <row r="544" ht="15.75" customHeight="1" s="87"/>
    <row r="545" ht="15.75" customHeight="1" s="87"/>
    <row r="546" ht="15.75" customHeight="1" s="87"/>
    <row r="547" ht="15.75" customHeight="1" s="87"/>
    <row r="548" ht="15.75" customHeight="1" s="87"/>
    <row r="549" ht="15.75" customHeight="1" s="87"/>
    <row r="550" ht="15.75" customHeight="1" s="87"/>
    <row r="551" ht="15.75" customHeight="1" s="87"/>
    <row r="552" ht="15.75" customHeight="1" s="87"/>
    <row r="553" ht="15.75" customHeight="1" s="87"/>
    <row r="554" ht="15.75" customHeight="1" s="87"/>
    <row r="555" ht="15.75" customHeight="1" s="87"/>
    <row r="556" ht="15.75" customHeight="1" s="87"/>
    <row r="557" ht="15.75" customHeight="1" s="87"/>
    <row r="558" ht="15.75" customHeight="1" s="87"/>
    <row r="559" ht="15.75" customHeight="1" s="87"/>
    <row r="560" ht="15.75" customHeight="1" s="87"/>
    <row r="561" ht="15.75" customHeight="1" s="87"/>
    <row r="562" ht="15.75" customHeight="1" s="87"/>
    <row r="563" ht="15.75" customHeight="1" s="87"/>
    <row r="564" ht="15.75" customHeight="1" s="87"/>
    <row r="565" ht="15.75" customHeight="1" s="87"/>
    <row r="566" ht="15.75" customHeight="1" s="87"/>
    <row r="567" ht="15.75" customHeight="1" s="87"/>
    <row r="568" ht="15.75" customHeight="1" s="87"/>
    <row r="569" ht="15.75" customHeight="1" s="87"/>
    <row r="570" ht="15.75" customHeight="1" s="87"/>
    <row r="571" ht="15.75" customHeight="1" s="87"/>
    <row r="572" ht="15.75" customHeight="1" s="87"/>
    <row r="573" ht="15.75" customHeight="1" s="87"/>
    <row r="574" ht="15.75" customHeight="1" s="87"/>
    <row r="575" ht="15.75" customHeight="1" s="87"/>
    <row r="576" ht="15.75" customHeight="1" s="87"/>
    <row r="577" ht="15.75" customHeight="1" s="87"/>
    <row r="578" ht="15.75" customHeight="1" s="87"/>
    <row r="579" ht="15.75" customHeight="1" s="87"/>
    <row r="580" ht="15.75" customHeight="1" s="87"/>
    <row r="581" ht="15.75" customHeight="1" s="87"/>
    <row r="582" ht="15.75" customHeight="1" s="87"/>
    <row r="583" ht="15.75" customHeight="1" s="87"/>
    <row r="584" ht="15.75" customHeight="1" s="87"/>
    <row r="585" ht="15.75" customHeight="1" s="87"/>
    <row r="586" ht="15.75" customHeight="1" s="87"/>
    <row r="587" ht="15.75" customHeight="1" s="87"/>
    <row r="588" ht="15.75" customHeight="1" s="87"/>
    <row r="589" ht="15.75" customHeight="1" s="87"/>
    <row r="590" ht="15.75" customHeight="1" s="87"/>
    <row r="591" ht="15.75" customHeight="1" s="87"/>
    <row r="592" ht="15.75" customHeight="1" s="87"/>
    <row r="593" ht="15.75" customHeight="1" s="87"/>
    <row r="594" ht="15.75" customHeight="1" s="87"/>
    <row r="595" ht="15.75" customHeight="1" s="87"/>
    <row r="596" ht="15.75" customHeight="1" s="87"/>
    <row r="597" ht="15.75" customHeight="1" s="87"/>
    <row r="598" ht="15.75" customHeight="1" s="87"/>
    <row r="599" ht="15.75" customHeight="1" s="87"/>
    <row r="600" ht="15.75" customHeight="1" s="87"/>
    <row r="601" ht="15.75" customHeight="1" s="87"/>
    <row r="602" ht="15.75" customHeight="1" s="87"/>
    <row r="603" ht="15.75" customHeight="1" s="87"/>
    <row r="604" ht="15.75" customHeight="1" s="87"/>
    <row r="605" ht="15.75" customHeight="1" s="87"/>
    <row r="606" ht="15.75" customHeight="1" s="87"/>
    <row r="607" ht="15.75" customHeight="1" s="87"/>
    <row r="608" ht="15.75" customHeight="1" s="87"/>
    <row r="609" ht="15.75" customHeight="1" s="87"/>
    <row r="610" ht="15.75" customHeight="1" s="87"/>
    <row r="611" ht="15.75" customHeight="1" s="87"/>
    <row r="612" ht="15.75" customHeight="1" s="87"/>
    <row r="613" ht="15.75" customHeight="1" s="87"/>
    <row r="614" ht="15.75" customHeight="1" s="87"/>
    <row r="615" ht="15.75" customHeight="1" s="87"/>
    <row r="616" ht="15.75" customHeight="1" s="87"/>
    <row r="617" ht="15.75" customHeight="1" s="87"/>
    <row r="618" ht="15.75" customHeight="1" s="87"/>
    <row r="619" ht="15.75" customHeight="1" s="87"/>
    <row r="620" ht="15.75" customHeight="1" s="87"/>
    <row r="621" ht="15.75" customHeight="1" s="87"/>
    <row r="622" ht="15.75" customHeight="1" s="87"/>
    <row r="623" ht="15.75" customHeight="1" s="87"/>
    <row r="624" ht="15.75" customHeight="1" s="87"/>
    <row r="625" ht="15.75" customHeight="1" s="87"/>
    <row r="626" ht="15.75" customHeight="1" s="87"/>
    <row r="627" ht="15.75" customHeight="1" s="87"/>
    <row r="628" ht="15.75" customHeight="1" s="87"/>
    <row r="629" ht="15.75" customHeight="1" s="87"/>
    <row r="630" ht="15.75" customHeight="1" s="87"/>
    <row r="631" ht="15.75" customHeight="1" s="87"/>
    <row r="632" ht="15.75" customHeight="1" s="87"/>
    <row r="633" ht="15.75" customHeight="1" s="87"/>
    <row r="634" ht="15.75" customHeight="1" s="87"/>
    <row r="635" ht="15.75" customHeight="1" s="87"/>
    <row r="636" ht="15.75" customHeight="1" s="87"/>
    <row r="637" ht="15.75" customHeight="1" s="87"/>
    <row r="638" ht="15.75" customHeight="1" s="87"/>
    <row r="639" ht="15.75" customHeight="1" s="87"/>
    <row r="640" ht="15.75" customHeight="1" s="87"/>
    <row r="641" ht="15.75" customHeight="1" s="87"/>
    <row r="642" ht="15.75" customHeight="1" s="87"/>
    <row r="643" ht="15.75" customHeight="1" s="87"/>
    <row r="644" ht="15.75" customHeight="1" s="87"/>
    <row r="645" ht="15.75" customHeight="1" s="87"/>
    <row r="646" ht="15.75" customHeight="1" s="87"/>
    <row r="647" ht="15.75" customHeight="1" s="87"/>
    <row r="648" ht="15.75" customHeight="1" s="87"/>
    <row r="649" ht="15.75" customHeight="1" s="87"/>
    <row r="650" ht="15.75" customHeight="1" s="87"/>
    <row r="651" ht="15.75" customHeight="1" s="87"/>
    <row r="652" ht="15.75" customHeight="1" s="87"/>
    <row r="653" ht="15.75" customHeight="1" s="87"/>
    <row r="654" ht="15.75" customHeight="1" s="87"/>
    <row r="655" ht="15.75" customHeight="1" s="87"/>
    <row r="656" ht="15.75" customHeight="1" s="87"/>
    <row r="657" ht="15.75" customHeight="1" s="87"/>
    <row r="658" ht="15.75" customHeight="1" s="87"/>
    <row r="659" ht="15.75" customHeight="1" s="87"/>
    <row r="660" ht="15.75" customHeight="1" s="87"/>
    <row r="661" ht="15.75" customHeight="1" s="87"/>
    <row r="662" ht="15.75" customHeight="1" s="87"/>
    <row r="663" ht="15.75" customHeight="1" s="87"/>
    <row r="664" ht="15.75" customHeight="1" s="87"/>
    <row r="665" ht="15.75" customHeight="1" s="87"/>
    <row r="666" ht="15.75" customHeight="1" s="87"/>
    <row r="667" ht="15.75" customHeight="1" s="87"/>
    <row r="668" ht="15.75" customHeight="1" s="87"/>
    <row r="669" ht="15.75" customHeight="1" s="87"/>
    <row r="670" ht="15.75" customHeight="1" s="87"/>
    <row r="671" ht="15.75" customHeight="1" s="87"/>
    <row r="672" ht="15.75" customHeight="1" s="87"/>
    <row r="673" ht="15.75" customHeight="1" s="87"/>
    <row r="674" ht="15.75" customHeight="1" s="87"/>
    <row r="675" ht="15.75" customHeight="1" s="87"/>
    <row r="676" ht="15.75" customHeight="1" s="87"/>
    <row r="677" ht="15.75" customHeight="1" s="87"/>
    <row r="678" ht="15.75" customHeight="1" s="87"/>
    <row r="679" ht="15.75" customHeight="1" s="87"/>
    <row r="680" ht="15.75" customHeight="1" s="87"/>
    <row r="681" ht="15.75" customHeight="1" s="87"/>
    <row r="682" ht="15.75" customHeight="1" s="87"/>
    <row r="683" ht="15.75" customHeight="1" s="87"/>
    <row r="684" ht="15.75" customHeight="1" s="87"/>
    <row r="685" ht="15.75" customHeight="1" s="87"/>
    <row r="686" ht="15.75" customHeight="1" s="87"/>
    <row r="687" ht="15.75" customHeight="1" s="87"/>
    <row r="688" ht="15.75" customHeight="1" s="87"/>
    <row r="689" ht="15.75" customHeight="1" s="87"/>
    <row r="690" ht="15.75" customHeight="1" s="87"/>
    <row r="691" ht="15.75" customHeight="1" s="87"/>
    <row r="692" ht="15.75" customHeight="1" s="87"/>
    <row r="693" ht="15.75" customHeight="1" s="87"/>
    <row r="694" ht="15.75" customHeight="1" s="87"/>
    <row r="695" ht="15.75" customHeight="1" s="87"/>
    <row r="696" ht="15.75" customHeight="1" s="87"/>
    <row r="697" ht="15.75" customHeight="1" s="87"/>
    <row r="698" ht="15.75" customHeight="1" s="87"/>
    <row r="699" ht="15.75" customHeight="1" s="87"/>
    <row r="700" ht="15.75" customHeight="1" s="87"/>
    <row r="701" ht="15.75" customHeight="1" s="87"/>
    <row r="702" ht="15.75" customHeight="1" s="87"/>
    <row r="703" ht="15.75" customHeight="1" s="87"/>
    <row r="704" ht="15.75" customHeight="1" s="87"/>
    <row r="705" ht="15.75" customHeight="1" s="87"/>
    <row r="706" ht="15.75" customHeight="1" s="87"/>
    <row r="707" ht="15.75" customHeight="1" s="87"/>
    <row r="708" ht="15.75" customHeight="1" s="87"/>
    <row r="709" ht="15.75" customHeight="1" s="87"/>
    <row r="710" ht="15.75" customHeight="1" s="87"/>
    <row r="711" ht="15.75" customHeight="1" s="87"/>
    <row r="712" ht="15.75" customHeight="1" s="87"/>
    <row r="713" ht="15.75" customHeight="1" s="87"/>
    <row r="714" ht="15.75" customHeight="1" s="87"/>
    <row r="715" ht="15.75" customHeight="1" s="87"/>
    <row r="716" ht="15.75" customHeight="1" s="87"/>
    <row r="717" ht="15.75" customHeight="1" s="87"/>
    <row r="718" ht="15.75" customHeight="1" s="87"/>
    <row r="719" ht="15.75" customHeight="1" s="87"/>
    <row r="720" ht="15.75" customHeight="1" s="87"/>
    <row r="721" ht="15.75" customHeight="1" s="87"/>
    <row r="722" ht="15.75" customHeight="1" s="87"/>
    <row r="723" ht="15.75" customHeight="1" s="87"/>
    <row r="724" ht="15.75" customHeight="1" s="87"/>
    <row r="725" ht="15.75" customHeight="1" s="87"/>
    <row r="726" ht="15.75" customHeight="1" s="87"/>
    <row r="727" ht="15.75" customHeight="1" s="87"/>
    <row r="728" ht="15.75" customHeight="1" s="87"/>
    <row r="729" ht="15.75" customHeight="1" s="87"/>
    <row r="730" ht="15.75" customHeight="1" s="87"/>
    <row r="731" ht="15.75" customHeight="1" s="87"/>
    <row r="732" ht="15.75" customHeight="1" s="87"/>
    <row r="733" ht="15.75" customHeight="1" s="87"/>
    <row r="734" ht="15.75" customHeight="1" s="87"/>
    <row r="735" ht="15.75" customHeight="1" s="87"/>
    <row r="736" ht="15.75" customHeight="1" s="87"/>
    <row r="737" ht="15.75" customHeight="1" s="87"/>
    <row r="738" ht="15.75" customHeight="1" s="87"/>
    <row r="739" ht="15.75" customHeight="1" s="87"/>
    <row r="740" ht="15.75" customHeight="1" s="87"/>
    <row r="741" ht="15.75" customHeight="1" s="87"/>
    <row r="742" ht="15.75" customHeight="1" s="87"/>
    <row r="743" ht="15.75" customHeight="1" s="87"/>
    <row r="744" ht="15.75" customHeight="1" s="87"/>
    <row r="745" ht="15.75" customHeight="1" s="87"/>
    <row r="746" ht="15.75" customHeight="1" s="87"/>
    <row r="747" ht="15.75" customHeight="1" s="87"/>
    <row r="748" ht="15.75" customHeight="1" s="87"/>
    <row r="749" ht="15.75" customHeight="1" s="87"/>
    <row r="750" ht="15.75" customHeight="1" s="87"/>
    <row r="751" ht="15.75" customHeight="1" s="87"/>
    <row r="752" ht="15.75" customHeight="1" s="87"/>
    <row r="753" ht="15.75" customHeight="1" s="87"/>
    <row r="754" ht="15.75" customHeight="1" s="87"/>
    <row r="755" ht="15.75" customHeight="1" s="87"/>
    <row r="756" ht="15.75" customHeight="1" s="87"/>
    <row r="757" ht="15.75" customHeight="1" s="87"/>
    <row r="758" ht="15.75" customHeight="1" s="87"/>
    <row r="759" ht="15.75" customHeight="1" s="87"/>
    <row r="760" ht="15.75" customHeight="1" s="87"/>
    <row r="761" ht="15.75" customHeight="1" s="87"/>
    <row r="762" ht="15.75" customHeight="1" s="87"/>
    <row r="763" ht="15.75" customHeight="1" s="87"/>
    <row r="764" ht="15.75" customHeight="1" s="87"/>
    <row r="765" ht="15.75" customHeight="1" s="87"/>
    <row r="766" ht="15.75" customHeight="1" s="87"/>
    <row r="767" ht="15.75" customHeight="1" s="87"/>
    <row r="768" ht="15.75" customHeight="1" s="87"/>
    <row r="769" ht="15.75" customHeight="1" s="87"/>
    <row r="770" ht="15.75" customHeight="1" s="87"/>
    <row r="771" ht="15.75" customHeight="1" s="87"/>
    <row r="772" ht="15.75" customHeight="1" s="87"/>
    <row r="773" ht="15.75" customHeight="1" s="87"/>
    <row r="774" ht="15.75" customHeight="1" s="87"/>
    <row r="775" ht="15.75" customHeight="1" s="87"/>
    <row r="776" ht="15.75" customHeight="1" s="87"/>
    <row r="777" ht="15.75" customHeight="1" s="87"/>
    <row r="778" ht="15.75" customHeight="1" s="87"/>
    <row r="779" ht="15.75" customHeight="1" s="87"/>
    <row r="780" ht="15.75" customHeight="1" s="87"/>
    <row r="781" ht="15.75" customHeight="1" s="87"/>
    <row r="782" ht="15.75" customHeight="1" s="87"/>
    <row r="783" ht="15.75" customHeight="1" s="87"/>
    <row r="784" ht="15.75" customHeight="1" s="87"/>
    <row r="785" ht="15.75" customHeight="1" s="87"/>
    <row r="786" ht="15.75" customHeight="1" s="87"/>
    <row r="787" ht="15.75" customHeight="1" s="87"/>
    <row r="788" ht="15.75" customHeight="1" s="87"/>
    <row r="789" ht="15.75" customHeight="1" s="87"/>
    <row r="790" ht="15.75" customHeight="1" s="87"/>
    <row r="791" ht="15.75" customHeight="1" s="87"/>
    <row r="792" ht="15.75" customHeight="1" s="87"/>
    <row r="793" ht="15.75" customHeight="1" s="87"/>
    <row r="794" ht="15.75" customHeight="1" s="87"/>
    <row r="795" ht="15.75" customHeight="1" s="87"/>
    <row r="796" ht="15.75" customHeight="1" s="87"/>
    <row r="797" ht="15.75" customHeight="1" s="87"/>
    <row r="798" ht="15.75" customHeight="1" s="87"/>
    <row r="799" ht="15.75" customHeight="1" s="87"/>
    <row r="800" ht="15.75" customHeight="1" s="87"/>
    <row r="801" ht="15.75" customHeight="1" s="87"/>
    <row r="802" ht="15.75" customHeight="1" s="87"/>
    <row r="803" ht="15.75" customHeight="1" s="87"/>
    <row r="804" ht="15.75" customHeight="1" s="87"/>
    <row r="805" ht="15.75" customHeight="1" s="87"/>
    <row r="806" ht="15.75" customHeight="1" s="87"/>
    <row r="807" ht="15.75" customHeight="1" s="87"/>
    <row r="808" ht="15.75" customHeight="1" s="87"/>
    <row r="809" ht="15.75" customHeight="1" s="87"/>
    <row r="810" ht="15.75" customHeight="1" s="87"/>
    <row r="811" ht="15.75" customHeight="1" s="87"/>
    <row r="812" ht="15.75" customHeight="1" s="87"/>
    <row r="813" ht="15.75" customHeight="1" s="87"/>
    <row r="814" ht="15.75" customHeight="1" s="87"/>
    <row r="815" ht="15.75" customHeight="1" s="87"/>
    <row r="816" ht="15.75" customHeight="1" s="87"/>
    <row r="817" ht="15.75" customHeight="1" s="87"/>
    <row r="818" ht="15.75" customHeight="1" s="87"/>
    <row r="819" ht="15.75" customHeight="1" s="87"/>
    <row r="820" ht="15.75" customHeight="1" s="87"/>
    <row r="821" ht="15.75" customHeight="1" s="87"/>
    <row r="822" ht="15.75" customHeight="1" s="87"/>
    <row r="823" ht="15.75" customHeight="1" s="87"/>
    <row r="824" ht="15.75" customHeight="1" s="87"/>
    <row r="825" ht="15.75" customHeight="1" s="87"/>
    <row r="826" ht="15.75" customHeight="1" s="87"/>
    <row r="827" ht="15.75" customHeight="1" s="87"/>
    <row r="828" ht="15.75" customHeight="1" s="87"/>
    <row r="829" ht="15.75" customHeight="1" s="87"/>
    <row r="830" ht="15.75" customHeight="1" s="87"/>
    <row r="831" ht="15.75" customHeight="1" s="87"/>
    <row r="832" ht="15.75" customHeight="1" s="87"/>
    <row r="833" ht="15.75" customHeight="1" s="87"/>
    <row r="834" ht="15.75" customHeight="1" s="87"/>
    <row r="835" ht="15.75" customHeight="1" s="87"/>
    <row r="836" ht="15.75" customHeight="1" s="87"/>
    <row r="837" ht="15.75" customHeight="1" s="87"/>
    <row r="838" ht="15.75" customHeight="1" s="87"/>
    <row r="839" ht="15.75" customHeight="1" s="87"/>
    <row r="840" ht="15.75" customHeight="1" s="87"/>
    <row r="841" ht="15.75" customHeight="1" s="87"/>
    <row r="842" ht="15.75" customHeight="1" s="87"/>
    <row r="843" ht="15.75" customHeight="1" s="87"/>
    <row r="844" ht="15.75" customHeight="1" s="87"/>
    <row r="845" ht="15.75" customHeight="1" s="87"/>
    <row r="846" ht="15.75" customHeight="1" s="87"/>
    <row r="847" ht="15.75" customHeight="1" s="87"/>
    <row r="848" ht="15.75" customHeight="1" s="87"/>
    <row r="849" ht="15.75" customHeight="1" s="87"/>
    <row r="850" ht="15.75" customHeight="1" s="87"/>
    <row r="851" ht="15.75" customHeight="1" s="87"/>
    <row r="852" ht="15.75" customHeight="1" s="87"/>
    <row r="853" ht="15.75" customHeight="1" s="87"/>
    <row r="854" ht="15.75" customHeight="1" s="87"/>
    <row r="855" ht="15.75" customHeight="1" s="87"/>
    <row r="856" ht="15.75" customHeight="1" s="87"/>
    <row r="857" ht="15.75" customHeight="1" s="87"/>
    <row r="858" ht="15.75" customHeight="1" s="87"/>
    <row r="859" ht="15.75" customHeight="1" s="87"/>
    <row r="860" ht="15.75" customHeight="1" s="87"/>
    <row r="861" ht="15.75" customHeight="1" s="87"/>
    <row r="862" ht="15.75" customHeight="1" s="87"/>
    <row r="863" ht="15.75" customHeight="1" s="87"/>
    <row r="864" ht="15.75" customHeight="1" s="87"/>
    <row r="865" ht="15.75" customHeight="1" s="87"/>
    <row r="866" ht="15.75" customHeight="1" s="87"/>
    <row r="867" ht="15.75" customHeight="1" s="87"/>
    <row r="868" ht="15.75" customHeight="1" s="87"/>
    <row r="869" ht="15.75" customHeight="1" s="87"/>
    <row r="870" ht="15.75" customHeight="1" s="87"/>
    <row r="871" ht="15.75" customHeight="1" s="87"/>
    <row r="872" ht="15.75" customHeight="1" s="87"/>
    <row r="873" ht="15.75" customHeight="1" s="87"/>
    <row r="874" ht="15.75" customHeight="1" s="87"/>
    <row r="875" ht="15.75" customHeight="1" s="87"/>
    <row r="876" ht="15.75" customHeight="1" s="87"/>
    <row r="877" ht="15.75" customHeight="1" s="87"/>
    <row r="878" ht="15.75" customHeight="1" s="87"/>
    <row r="879" ht="15.75" customHeight="1" s="87"/>
    <row r="880" ht="15.75" customHeight="1" s="87"/>
    <row r="881" ht="15.75" customHeight="1" s="87"/>
    <row r="882" ht="15.75" customHeight="1" s="87"/>
    <row r="883" ht="15.75" customHeight="1" s="87"/>
    <row r="884" ht="15.75" customHeight="1" s="87"/>
    <row r="885" ht="15.75" customHeight="1" s="87"/>
    <row r="886" ht="15.75" customHeight="1" s="87"/>
    <row r="887" ht="15.75" customHeight="1" s="87"/>
    <row r="888" ht="15.75" customHeight="1" s="87"/>
    <row r="889" ht="15.75" customHeight="1" s="87"/>
    <row r="890" ht="15.75" customHeight="1" s="87"/>
    <row r="891" ht="15.75" customHeight="1" s="87"/>
    <row r="892" ht="15.75" customHeight="1" s="87"/>
    <row r="893" ht="15.75" customHeight="1" s="87"/>
    <row r="894" ht="15.75" customHeight="1" s="87"/>
    <row r="895" ht="15.75" customHeight="1" s="87"/>
    <row r="896" ht="15.75" customHeight="1" s="87"/>
    <row r="897" ht="15.75" customHeight="1" s="87"/>
    <row r="898" ht="15.75" customHeight="1" s="87"/>
    <row r="899" ht="15.75" customHeight="1" s="87"/>
    <row r="900" ht="15.75" customHeight="1" s="87"/>
    <row r="901" ht="15.75" customHeight="1" s="87"/>
    <row r="902" ht="15.75" customHeight="1" s="87"/>
    <row r="903" ht="15.75" customHeight="1" s="87"/>
    <row r="904" ht="15.75" customHeight="1" s="87"/>
    <row r="905" ht="15.75" customHeight="1" s="87"/>
    <row r="906" ht="15.75" customHeight="1" s="87"/>
    <row r="907" ht="15.75" customHeight="1" s="87"/>
    <row r="908" ht="15.75" customHeight="1" s="87"/>
    <row r="909" ht="15.75" customHeight="1" s="87"/>
    <row r="910" ht="15.75" customHeight="1" s="87"/>
    <row r="911" ht="15.75" customHeight="1" s="87"/>
    <row r="912" ht="15.75" customHeight="1" s="87"/>
    <row r="913" ht="15.75" customHeight="1" s="87"/>
    <row r="914" ht="15.75" customHeight="1" s="87"/>
    <row r="915" ht="15.75" customHeight="1" s="87"/>
    <row r="916" ht="15.75" customHeight="1" s="87"/>
    <row r="917" ht="15.75" customHeight="1" s="87"/>
    <row r="918" ht="15.75" customHeight="1" s="87"/>
    <row r="919" ht="15.75" customHeight="1" s="87"/>
    <row r="920" ht="15.75" customHeight="1" s="87"/>
    <row r="921" ht="15.75" customHeight="1" s="87"/>
    <row r="922" ht="15.75" customHeight="1" s="87"/>
    <row r="923" ht="15.75" customHeight="1" s="87"/>
    <row r="924" ht="15.75" customHeight="1" s="87"/>
    <row r="925" ht="15.75" customHeight="1" s="87"/>
    <row r="926" ht="15.75" customHeight="1" s="87"/>
    <row r="927" ht="15.75" customHeight="1" s="87"/>
    <row r="928" ht="15.75" customHeight="1" s="87"/>
    <row r="929" ht="15.75" customHeight="1" s="87"/>
    <row r="930" ht="15.75" customHeight="1" s="87"/>
    <row r="931" ht="15.75" customHeight="1" s="87"/>
    <row r="932" ht="15.75" customHeight="1" s="87"/>
    <row r="933" ht="15.75" customHeight="1" s="87"/>
    <row r="934" ht="15.75" customHeight="1" s="87"/>
    <row r="935" ht="15.75" customHeight="1" s="87"/>
    <row r="936" ht="15.75" customHeight="1" s="87"/>
    <row r="937" ht="15.75" customHeight="1" s="87"/>
    <row r="938" ht="15.75" customHeight="1" s="87"/>
    <row r="939" ht="15.75" customHeight="1" s="87"/>
    <row r="940" ht="15.75" customHeight="1" s="87"/>
    <row r="941" ht="15.75" customHeight="1" s="87"/>
    <row r="942" ht="15.75" customHeight="1" s="87"/>
    <row r="943" ht="15.75" customHeight="1" s="87"/>
    <row r="944" ht="15.75" customHeight="1" s="87"/>
    <row r="945" ht="15.75" customHeight="1" s="87"/>
    <row r="946" ht="15.75" customHeight="1" s="87"/>
    <row r="947" ht="15.75" customHeight="1" s="87"/>
    <row r="948" ht="15.75" customHeight="1" s="87"/>
    <row r="949" ht="15.75" customHeight="1" s="87"/>
    <row r="950" ht="15.75" customHeight="1" s="87"/>
    <row r="951" ht="15.75" customHeight="1" s="87"/>
    <row r="952" ht="15.75" customHeight="1" s="87"/>
    <row r="953" ht="15.75" customHeight="1" s="87"/>
    <row r="954" ht="15.75" customHeight="1" s="87"/>
    <row r="955" ht="15.75" customHeight="1" s="87"/>
    <row r="956" ht="15.75" customHeight="1" s="87"/>
    <row r="957" ht="15.75" customHeight="1" s="87"/>
    <row r="958" ht="15.75" customHeight="1" s="87"/>
    <row r="959" ht="15.75" customHeight="1" s="87"/>
    <row r="960" ht="15.75" customHeight="1" s="87"/>
    <row r="961" ht="15.75" customHeight="1" s="87"/>
    <row r="962" ht="15.75" customHeight="1" s="87"/>
    <row r="963" ht="15.75" customHeight="1" s="87"/>
    <row r="964" ht="15.75" customHeight="1" s="87"/>
    <row r="965" ht="15.75" customHeight="1" s="87"/>
    <row r="966" ht="15.75" customHeight="1" s="87"/>
    <row r="967" ht="15.75" customHeight="1" s="87"/>
    <row r="968" ht="15.75" customHeight="1" s="87"/>
    <row r="969" ht="15.75" customHeight="1" s="87"/>
    <row r="970" ht="15.75" customHeight="1" s="87"/>
    <row r="971" ht="15.75" customHeight="1" s="87"/>
    <row r="972" ht="15.75" customHeight="1" s="87"/>
    <row r="973" ht="15.75" customHeight="1" s="87"/>
    <row r="974" ht="15.75" customHeight="1" s="87"/>
    <row r="975" ht="15.75" customHeight="1" s="87"/>
    <row r="976" ht="15.75" customHeight="1" s="87"/>
    <row r="977" ht="15.75" customHeight="1" s="87"/>
    <row r="978" ht="15.75" customHeight="1" s="87"/>
    <row r="979" ht="15.75" customHeight="1" s="87"/>
    <row r="980" ht="15.75" customHeight="1" s="87"/>
    <row r="981" ht="15.75" customHeight="1" s="87"/>
    <row r="982" ht="15.75" customHeight="1" s="87"/>
    <row r="983" ht="15.75" customHeight="1" s="87"/>
    <row r="984" ht="15.75" customHeight="1" s="87"/>
    <row r="985" ht="15.75" customHeight="1" s="87"/>
    <row r="986" ht="15.75" customHeight="1" s="87"/>
    <row r="987" ht="15.75" customHeight="1" s="87"/>
    <row r="988" ht="15.75" customHeight="1" s="87"/>
    <row r="989" ht="15.75" customHeight="1" s="87"/>
    <row r="990" ht="15.75" customHeight="1" s="87"/>
    <row r="991" ht="15.75" customHeight="1" s="87"/>
    <row r="992" ht="15.75" customHeight="1" s="87"/>
    <row r="993" ht="15.75" customHeight="1" s="87"/>
    <row r="994" ht="15.75" customHeight="1" s="87"/>
    <row r="995" ht="15.75" customHeight="1" s="87"/>
    <row r="996" ht="15.75" customHeight="1" s="87"/>
    <row r="997" ht="15.75" customHeight="1" s="87"/>
    <row r="998" ht="15.75" customHeight="1" s="87"/>
    <row r="999" ht="15.75" customHeight="1" s="87"/>
    <row r="1000" ht="15.75" customHeight="1" s="87"/>
  </sheetData>
  <mergeCells count="1">
    <mergeCell ref="A1:AL1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>
  <sheetPr>
    <tabColor rgb="FFE8E8E8"/>
    <outlinePr summaryBelow="1" summaryRight="1"/>
    <pageSetUpPr/>
  </sheetPr>
  <dimension ref="A1:AL7"/>
  <sheetViews>
    <sheetView showGridLines="0" workbookViewId="0">
      <selection activeCell="A1" sqref="A1"/>
    </sheetView>
  </sheetViews>
  <sheetFormatPr baseColWidth="8" defaultColWidth="12.625" defaultRowHeight="15" customHeight="1"/>
  <cols>
    <col width="22" customWidth="1" style="87" min="1" max="1"/>
    <col width="8" customWidth="1" style="87" min="2" max="2"/>
    <col width="8" customWidth="1" style="87" min="3" max="4"/>
    <col width="8" customWidth="1" style="87" min="4" max="4"/>
    <col width="8" customWidth="1" style="87" min="5" max="6"/>
    <col width="8" customWidth="1" style="87" min="6" max="6"/>
    <col width="8" customWidth="1" style="87" min="7" max="7"/>
    <col width="8" customWidth="1" style="87" min="8" max="9"/>
    <col width="8" customWidth="1" style="87" min="9" max="9"/>
    <col hidden="1" width="8" customWidth="1" style="87" min="10" max="12"/>
    <col width="8" customWidth="1" style="87" min="11" max="11"/>
    <col width="8" customWidth="1" style="87" min="12" max="12"/>
    <col hidden="1" width="8" customWidth="1" style="87" min="13" max="13"/>
    <col width="8" customWidth="1" style="87" min="14" max="14"/>
    <col width="8" customWidth="1" style="87" min="15" max="15"/>
    <col width="8" customWidth="1" style="87" min="16" max="16"/>
    <col width="8" customWidth="1" style="87" min="17" max="17"/>
    <col width="8" customWidth="1" style="87" min="18" max="18"/>
    <col width="8" customWidth="1" style="87" min="19" max="19"/>
    <col width="8" customWidth="1" style="87" min="20" max="20"/>
    <col width="8" customWidth="1" style="87" min="21" max="21"/>
    <col width="8" customWidth="1" style="87" min="22" max="22"/>
    <col width="8" customWidth="1" style="87" min="23" max="23"/>
    <col width="8" customWidth="1" style="87" min="24" max="24"/>
    <col width="8" customWidth="1" style="87" min="25" max="25"/>
    <col width="8" customWidth="1" style="87" min="26" max="26"/>
    <col width="8" customWidth="1" style="87" min="27" max="27"/>
    <col width="8" customWidth="1" style="87" min="28" max="28"/>
    <col width="8" customWidth="1" style="87" min="29" max="29"/>
    <col width="8" customWidth="1" style="87" min="30" max="30"/>
    <col width="8" customWidth="1" style="87" min="31" max="31"/>
    <col width="8" customWidth="1" style="87" min="32" max="32"/>
    <col width="8" customWidth="1" style="87" min="33" max="33"/>
    <col width="8" customWidth="1" style="87" min="34" max="34"/>
    <col width="8" customWidth="1" style="87" min="35" max="35"/>
    <col width="8" customWidth="1" style="87" min="36" max="36"/>
    <col width="8" customWidth="1" style="87" min="37" max="37"/>
  </cols>
  <sheetData>
    <row r="1" ht="13.5" customHeight="1" s="87">
      <c r="A1" s="162" t="inlineStr">
        <is>
          <t>HEADCOUNT (prosto i do obrony)</t>
        </is>
      </c>
    </row>
    <row r="2" ht="13.5" customHeight="1" s="87">
      <c r="A2" s="163" t="inlineStr">
        <is>
          <t>Rola / FTE</t>
        </is>
      </c>
      <c r="B2" s="163" t="inlineStr">
        <is>
          <t>M1</t>
        </is>
      </c>
      <c r="C2" s="163" t="inlineStr">
        <is>
          <t>M2</t>
        </is>
      </c>
      <c r="D2" s="163" t="inlineStr">
        <is>
          <t>M3</t>
        </is>
      </c>
      <c r="E2" s="163" t="inlineStr">
        <is>
          <t>M4</t>
        </is>
      </c>
      <c r="F2" s="163" t="inlineStr">
        <is>
          <t>M5</t>
        </is>
      </c>
      <c r="G2" s="163" t="inlineStr">
        <is>
          <t>M6</t>
        </is>
      </c>
      <c r="H2" s="163" t="inlineStr">
        <is>
          <t>M7</t>
        </is>
      </c>
      <c r="I2" s="163" t="inlineStr">
        <is>
          <t>M8</t>
        </is>
      </c>
      <c r="J2" s="163" t="inlineStr">
        <is>
          <t>M9</t>
        </is>
      </c>
      <c r="K2" s="163" t="inlineStr">
        <is>
          <t>M10</t>
        </is>
      </c>
      <c r="L2" s="163" t="inlineStr">
        <is>
          <t>M11</t>
        </is>
      </c>
      <c r="M2" s="163" t="inlineStr">
        <is>
          <t>M12</t>
        </is>
      </c>
      <c r="N2" s="163" t="inlineStr">
        <is>
          <t>M13</t>
        </is>
      </c>
      <c r="O2" s="163" t="inlineStr">
        <is>
          <t>M14</t>
        </is>
      </c>
      <c r="P2" s="163" t="inlineStr">
        <is>
          <t>M15</t>
        </is>
      </c>
      <c r="Q2" s="163" t="inlineStr">
        <is>
          <t>M16</t>
        </is>
      </c>
      <c r="R2" s="163" t="inlineStr">
        <is>
          <t>M17</t>
        </is>
      </c>
      <c r="S2" s="163" t="inlineStr">
        <is>
          <t>M18</t>
        </is>
      </c>
      <c r="T2" s="163" t="inlineStr">
        <is>
          <t>M19</t>
        </is>
      </c>
      <c r="U2" s="163" t="inlineStr">
        <is>
          <t>M20</t>
        </is>
      </c>
      <c r="V2" s="163" t="inlineStr">
        <is>
          <t>M21</t>
        </is>
      </c>
      <c r="W2" s="163" t="inlineStr">
        <is>
          <t>M22</t>
        </is>
      </c>
      <c r="X2" s="163" t="inlineStr">
        <is>
          <t>M23</t>
        </is>
      </c>
      <c r="Y2" s="163" t="inlineStr">
        <is>
          <t>M24</t>
        </is>
      </c>
      <c r="Z2" s="163" t="inlineStr">
        <is>
          <t>M25</t>
        </is>
      </c>
      <c r="AA2" s="163" t="inlineStr">
        <is>
          <t>M26</t>
        </is>
      </c>
      <c r="AB2" s="163" t="inlineStr">
        <is>
          <t>M27</t>
        </is>
      </c>
      <c r="AC2" s="163" t="inlineStr">
        <is>
          <t>M28</t>
        </is>
      </c>
      <c r="AD2" s="163" t="inlineStr">
        <is>
          <t>M29</t>
        </is>
      </c>
      <c r="AE2" s="163" t="inlineStr">
        <is>
          <t>M30</t>
        </is>
      </c>
      <c r="AF2" s="163" t="inlineStr">
        <is>
          <t>M31</t>
        </is>
      </c>
      <c r="AG2" s="163" t="inlineStr">
        <is>
          <t>M32</t>
        </is>
      </c>
      <c r="AH2" s="163" t="inlineStr">
        <is>
          <t>M33</t>
        </is>
      </c>
      <c r="AI2" s="163" t="inlineStr">
        <is>
          <t>M34</t>
        </is>
      </c>
      <c r="AJ2" s="163" t="inlineStr">
        <is>
          <t>M35</t>
        </is>
      </c>
      <c r="AK2" s="163" t="inlineStr">
        <is>
          <t>M36</t>
        </is>
      </c>
      <c r="AL2" s="163" t="n"/>
    </row>
    <row r="3" ht="13.5" customHeight="1" s="87">
      <c r="A3" s="173" t="inlineStr">
        <is>
          <t>Founder 1</t>
        </is>
      </c>
      <c r="B3" s="174" t="n">
        <v>1</v>
      </c>
      <c r="C3" s="174" t="n">
        <v>1</v>
      </c>
      <c r="D3" s="174" t="n">
        <v>1</v>
      </c>
      <c r="E3" s="174" t="n">
        <v>1</v>
      </c>
      <c r="F3" s="174" t="n">
        <v>1</v>
      </c>
      <c r="G3" s="174" t="n">
        <v>1</v>
      </c>
      <c r="H3" s="174" t="n">
        <v>1</v>
      </c>
      <c r="I3" s="174" t="n">
        <v>1</v>
      </c>
      <c r="J3" s="174" t="n">
        <v>1</v>
      </c>
      <c r="K3" s="174" t="n">
        <v>1</v>
      </c>
      <c r="L3" s="174" t="n">
        <v>1</v>
      </c>
      <c r="M3" s="174" t="n">
        <v>1</v>
      </c>
      <c r="N3" s="174" t="n">
        <v>1</v>
      </c>
      <c r="O3" s="174" t="n">
        <v>1</v>
      </c>
      <c r="P3" s="174" t="n">
        <v>1</v>
      </c>
      <c r="Q3" s="174" t="n">
        <v>1</v>
      </c>
      <c r="R3" s="174" t="n">
        <v>1</v>
      </c>
      <c r="S3" s="174" t="n">
        <v>1</v>
      </c>
      <c r="T3" s="174" t="n">
        <v>1</v>
      </c>
      <c r="U3" s="174" t="n">
        <v>1</v>
      </c>
      <c r="V3" s="174" t="n">
        <v>1</v>
      </c>
      <c r="W3" s="174" t="n">
        <v>1</v>
      </c>
      <c r="X3" s="174" t="n">
        <v>1</v>
      </c>
      <c r="Y3" s="174" t="n">
        <v>1</v>
      </c>
      <c r="Z3" s="174" t="n">
        <v>1</v>
      </c>
      <c r="AA3" s="174" t="n">
        <v>1</v>
      </c>
      <c r="AB3" s="174" t="n">
        <v>1</v>
      </c>
      <c r="AC3" s="174" t="n">
        <v>1</v>
      </c>
      <c r="AD3" s="174" t="n">
        <v>1</v>
      </c>
      <c r="AE3" s="174" t="n">
        <v>1</v>
      </c>
      <c r="AF3" s="174" t="n">
        <v>1</v>
      </c>
      <c r="AG3" s="174" t="n">
        <v>1</v>
      </c>
      <c r="AH3" s="174" t="n">
        <v>1</v>
      </c>
      <c r="AI3" s="174" t="n">
        <v>1</v>
      </c>
      <c r="AJ3" s="174" t="n">
        <v>1</v>
      </c>
      <c r="AK3" s="174" t="n">
        <v>1</v>
      </c>
    </row>
    <row r="4" ht="15.75" customHeight="1" s="87">
      <c r="A4" s="173" t="inlineStr">
        <is>
          <t>Founder 2</t>
        </is>
      </c>
      <c r="B4" s="174" t="n">
        <v>1</v>
      </c>
      <c r="C4" s="174" t="n">
        <v>1</v>
      </c>
      <c r="D4" s="174" t="n">
        <v>1</v>
      </c>
      <c r="E4" s="174" t="n">
        <v>1</v>
      </c>
      <c r="F4" s="174" t="n">
        <v>1</v>
      </c>
      <c r="G4" s="174" t="n">
        <v>1</v>
      </c>
      <c r="H4" s="174" t="n">
        <v>1</v>
      </c>
      <c r="I4" s="174" t="n">
        <v>1</v>
      </c>
      <c r="J4" s="174" t="n">
        <v>1</v>
      </c>
      <c r="K4" s="174" t="n">
        <v>1</v>
      </c>
      <c r="L4" s="174" t="n">
        <v>1</v>
      </c>
      <c r="M4" s="174" t="n">
        <v>1</v>
      </c>
      <c r="N4" s="174" t="n">
        <v>1</v>
      </c>
      <c r="O4" s="174" t="n">
        <v>1</v>
      </c>
      <c r="P4" s="174" t="n">
        <v>1</v>
      </c>
      <c r="Q4" s="174" t="n">
        <v>1</v>
      </c>
      <c r="R4" s="174" t="n">
        <v>1</v>
      </c>
      <c r="S4" s="174" t="n">
        <v>1</v>
      </c>
      <c r="T4" s="174" t="n">
        <v>1</v>
      </c>
      <c r="U4" s="174" t="n">
        <v>1</v>
      </c>
      <c r="V4" s="174" t="n">
        <v>1</v>
      </c>
      <c r="W4" s="174" t="n">
        <v>1</v>
      </c>
      <c r="X4" s="174" t="n">
        <v>1</v>
      </c>
      <c r="Y4" s="174" t="n">
        <v>1</v>
      </c>
      <c r="Z4" s="174" t="n">
        <v>1</v>
      </c>
      <c r="AA4" s="174" t="n">
        <v>1</v>
      </c>
      <c r="AB4" s="174" t="n">
        <v>1</v>
      </c>
      <c r="AC4" s="174" t="n">
        <v>1</v>
      </c>
      <c r="AD4" s="174" t="n">
        <v>1</v>
      </c>
      <c r="AE4" s="174" t="n">
        <v>1</v>
      </c>
      <c r="AF4" s="174" t="n">
        <v>1</v>
      </c>
      <c r="AG4" s="174" t="n">
        <v>1</v>
      </c>
      <c r="AH4" s="174" t="n">
        <v>1</v>
      </c>
      <c r="AI4" s="174" t="n">
        <v>1</v>
      </c>
      <c r="AJ4" s="174" t="n">
        <v>1</v>
      </c>
      <c r="AK4" s="174" t="n">
        <v>1</v>
      </c>
    </row>
    <row r="5" ht="12" customHeight="1" s="87">
      <c r="A5" s="173" t="inlineStr">
        <is>
          <t>ML Engineer</t>
        </is>
      </c>
      <c r="B5" s="174" t="n">
        <v>0</v>
      </c>
      <c r="C5" s="174" t="n">
        <v>0</v>
      </c>
      <c r="D5" s="174" t="n">
        <v>0</v>
      </c>
      <c r="E5" s="174" t="n">
        <v>1</v>
      </c>
      <c r="F5" s="174" t="n">
        <v>1</v>
      </c>
      <c r="G5" s="174" t="n">
        <v>1</v>
      </c>
      <c r="H5" s="174" t="n">
        <v>1</v>
      </c>
      <c r="I5" s="174" t="n">
        <v>1</v>
      </c>
      <c r="J5" s="174" t="n">
        <v>1</v>
      </c>
      <c r="K5" s="174" t="n">
        <v>1</v>
      </c>
      <c r="L5" s="174" t="n">
        <v>1</v>
      </c>
      <c r="M5" s="174" t="n">
        <v>1</v>
      </c>
      <c r="N5" s="174" t="n">
        <v>1</v>
      </c>
      <c r="O5" s="174" t="n">
        <v>1</v>
      </c>
      <c r="P5" s="174" t="n">
        <v>1</v>
      </c>
      <c r="Q5" s="174" t="n">
        <v>1</v>
      </c>
      <c r="R5" s="174" t="n">
        <v>1</v>
      </c>
      <c r="S5" s="174" t="n">
        <v>1</v>
      </c>
      <c r="T5" s="174" t="n">
        <v>1</v>
      </c>
      <c r="U5" s="174" t="n">
        <v>1</v>
      </c>
      <c r="V5" s="174" t="n">
        <v>1</v>
      </c>
      <c r="W5" s="174" t="n">
        <v>1</v>
      </c>
      <c r="X5" s="174" t="n">
        <v>1</v>
      </c>
      <c r="Y5" s="174" t="n">
        <v>1</v>
      </c>
      <c r="Z5" s="174" t="n">
        <v>1</v>
      </c>
      <c r="AA5" s="174" t="n">
        <v>1</v>
      </c>
      <c r="AB5" s="174" t="n">
        <v>1</v>
      </c>
      <c r="AC5" s="174" t="n">
        <v>1</v>
      </c>
      <c r="AD5" s="174" t="n">
        <v>1</v>
      </c>
      <c r="AE5" s="174" t="n">
        <v>1</v>
      </c>
      <c r="AF5" s="174" t="n">
        <v>1</v>
      </c>
      <c r="AG5" s="174" t="n">
        <v>1</v>
      </c>
      <c r="AH5" s="174" t="n">
        <v>1</v>
      </c>
      <c r="AI5" s="174" t="n">
        <v>1</v>
      </c>
      <c r="AJ5" s="174" t="n">
        <v>1</v>
      </c>
      <c r="AK5" s="174" t="n">
        <v>1</v>
      </c>
    </row>
    <row r="6" ht="18" customHeight="1" s="87">
      <c r="A6" s="173" t="inlineStr">
        <is>
          <t>Sales</t>
        </is>
      </c>
      <c r="B6" s="174" t="n">
        <v>0</v>
      </c>
      <c r="C6" s="174" t="n">
        <v>0</v>
      </c>
      <c r="D6" s="174">
        <f>IF('Best_Case_B2B_Revenue_Build'!D4&gt;=8,1,0)</f>
        <v/>
      </c>
      <c r="E6" s="174">
        <f>IF('Best_Case_B2B_Revenue_Build'!E4&gt;=8,1,0)</f>
        <v/>
      </c>
      <c r="F6" s="174">
        <f>IF('Best_Case_B2B_Revenue_Build'!F4&gt;=8,1,0)</f>
        <v/>
      </c>
      <c r="G6" s="174">
        <f>IF('Best_Case_B2B_Revenue_Build'!G4&gt;=8,1,0)</f>
        <v/>
      </c>
      <c r="H6" s="174">
        <f>IF('Best_Case_B2B_Revenue_Build'!H4&gt;=8,1,0)</f>
        <v/>
      </c>
      <c r="I6" s="174">
        <f>IF('Best_Case_B2B_Revenue_Build'!I4&gt;=8,1,0)</f>
        <v/>
      </c>
      <c r="J6" s="174">
        <f>IF('Best_Case_B2B_Revenue_Build'!J4&gt;=8,1,0)</f>
        <v/>
      </c>
      <c r="K6" s="174">
        <f>IF('Best_Case_B2B_Revenue_Build'!K4&gt;=8,1,0)</f>
        <v/>
      </c>
      <c r="L6" s="174">
        <f>IF('Best_Case_B2B_Revenue_Build'!L4&gt;=8,1,0)</f>
        <v/>
      </c>
      <c r="M6" s="174">
        <f>IF('Best_Case_B2B_Revenue_Build'!M4&gt;=8,1,0)</f>
        <v/>
      </c>
      <c r="N6" s="174">
        <f>IF('Best_Case_B2B_Revenue_Build'!N4&gt;=8,1,0)</f>
        <v/>
      </c>
      <c r="O6" s="174">
        <f>IF('Best_Case_B2B_Revenue_Build'!O4&gt;=8,1,0)</f>
        <v/>
      </c>
      <c r="P6" s="174">
        <f>IF('Best_Case_B2B_Revenue_Build'!P4&gt;=8,1,0)</f>
        <v/>
      </c>
      <c r="Q6" s="174">
        <f>IF('Best_Case_B2B_Revenue_Build'!Q4&gt;=8,1,0)</f>
        <v/>
      </c>
      <c r="R6" s="174">
        <f>IF('Best_Case_B2B_Revenue_Build'!R4&gt;=8,1,0)</f>
        <v/>
      </c>
      <c r="S6" s="174">
        <f>IF('Best_Case_B2B_Revenue_Build'!S4&gt;=8,1,0)</f>
        <v/>
      </c>
      <c r="T6" s="174">
        <f>IF('Best_Case_B2B_Revenue_Build'!T4&gt;=8,1,0)</f>
        <v/>
      </c>
      <c r="U6" s="174">
        <f>IF('Best_Case_B2B_Revenue_Build'!U4&gt;=8,1,0)</f>
        <v/>
      </c>
      <c r="V6" s="174">
        <f>IF('Best_Case_B2B_Revenue_Build'!V4&gt;=8,1,0)</f>
        <v/>
      </c>
      <c r="W6" s="174">
        <f>IF('Best_Case_B2B_Revenue_Build'!W4&gt;=8,1,0)</f>
        <v/>
      </c>
      <c r="X6" s="174">
        <f>IF('Best_Case_B2B_Revenue_Build'!X4&gt;=8,1,0)</f>
        <v/>
      </c>
      <c r="Y6" s="174">
        <f>IF('Best_Case_B2B_Revenue_Build'!Y4&gt;=8,1,0)</f>
        <v/>
      </c>
      <c r="Z6" s="174">
        <f>IF('Best_Case_B2B_Revenue_Build'!Z4&gt;=8,1,0)</f>
        <v/>
      </c>
      <c r="AA6" s="174">
        <f>IF('Best_Case_B2B_Revenue_Build'!AA4&gt;=8,1,0)</f>
        <v/>
      </c>
      <c r="AB6" s="174">
        <f>IF('Best_Case_B2B_Revenue_Build'!AB4&gt;=8,1,0)</f>
        <v/>
      </c>
      <c r="AC6" s="174">
        <f>IF('Best_Case_B2B_Revenue_Build'!AC4&gt;=8,1,0)</f>
        <v/>
      </c>
      <c r="AD6" s="174">
        <f>IF('Best_Case_B2B_Revenue_Build'!AD4&gt;=8,1,0)</f>
        <v/>
      </c>
      <c r="AE6" s="174">
        <f>IF('Best_Case_B2B_Revenue_Build'!AE4&gt;=8,1,0)</f>
        <v/>
      </c>
      <c r="AF6" s="174">
        <f>IF('Best_Case_B2B_Revenue_Build'!AF4&gt;=8,1,0)</f>
        <v/>
      </c>
      <c r="AG6" s="174">
        <f>IF('Best_Case_B2B_Revenue_Build'!AG4&gt;=8,1,0)</f>
        <v/>
      </c>
      <c r="AH6" s="174">
        <f>IF('Best_Case_B2B_Revenue_Build'!AH4&gt;=8,1,0)</f>
        <v/>
      </c>
      <c r="AI6" s="174">
        <f>IF('Best_Case_B2B_Revenue_Build'!AI4&gt;=8,1,0)</f>
        <v/>
      </c>
      <c r="AJ6" s="174">
        <f>IF('Best_Case_B2B_Revenue_Build'!AJ4&gt;=8,1,0)</f>
        <v/>
      </c>
      <c r="AK6" s="174">
        <f>IF('Best_Case_B2B_Revenue_Build'!AK4&gt;=8,1,0)</f>
        <v/>
      </c>
    </row>
    <row r="7" ht="13.5" customHeight="1" s="87">
      <c r="A7" s="169" t="inlineStr">
        <is>
          <t>Łącznie FTE</t>
        </is>
      </c>
      <c r="B7" s="175">
        <f>SUM(B3:B5)</f>
        <v/>
      </c>
      <c r="C7" s="175">
        <f>SUM(C3:C5)</f>
        <v/>
      </c>
      <c r="D7" s="175">
        <f>SUM(D3:D5)</f>
        <v/>
      </c>
      <c r="E7" s="175">
        <f>SUM(E3:E5)</f>
        <v/>
      </c>
      <c r="F7" s="175">
        <f>SUM(F3:F5)</f>
        <v/>
      </c>
      <c r="G7" s="175">
        <f>SUM(G3:G5)</f>
        <v/>
      </c>
      <c r="H7" s="175">
        <f>SUM(H3:H5)</f>
        <v/>
      </c>
      <c r="I7" s="175">
        <f>SUM(I3:I5)</f>
        <v/>
      </c>
      <c r="J7" s="175">
        <f>SUM(J3:J5)</f>
        <v/>
      </c>
      <c r="K7" s="175">
        <f>SUM(K3:K5)</f>
        <v/>
      </c>
      <c r="L7" s="175">
        <f>SUM(L3:L5)</f>
        <v/>
      </c>
      <c r="M7" s="175">
        <f>SUM(M3:M5)</f>
        <v/>
      </c>
      <c r="N7" s="175">
        <f>SUM(N3:N5)</f>
        <v/>
      </c>
      <c r="O7" s="175">
        <f>SUM(O3:O5)</f>
        <v/>
      </c>
      <c r="P7" s="175">
        <f>SUM(P3:P5)</f>
        <v/>
      </c>
      <c r="Q7" s="175">
        <f>SUM(Q3:Q5)</f>
        <v/>
      </c>
      <c r="R7" s="175">
        <f>SUM(R3:R5)</f>
        <v/>
      </c>
      <c r="S7" s="175">
        <f>SUM(S3:S5)</f>
        <v/>
      </c>
      <c r="T7" s="175">
        <f>SUM(T3:T5)</f>
        <v/>
      </c>
      <c r="U7" s="175">
        <f>SUM(U3:U5)</f>
        <v/>
      </c>
      <c r="V7" s="175">
        <f>SUM(V3:V5)</f>
        <v/>
      </c>
      <c r="W7" s="175">
        <f>SUM(W3:W5)</f>
        <v/>
      </c>
      <c r="X7" s="175">
        <f>SUM(X3:X5)</f>
        <v/>
      </c>
      <c r="Y7" s="175">
        <f>SUM(Y3:Y5)</f>
        <v/>
      </c>
      <c r="Z7" s="175">
        <f>SUM(Z3:Z5)</f>
        <v/>
      </c>
      <c r="AA7" s="175">
        <f>SUM(AA3:AA5)</f>
        <v/>
      </c>
      <c r="AB7" s="175">
        <f>SUM(AB3:AB5)</f>
        <v/>
      </c>
      <c r="AC7" s="175">
        <f>SUM(AC3:AC5)</f>
        <v/>
      </c>
      <c r="AD7" s="175">
        <f>SUM(AD3:AD5)</f>
        <v/>
      </c>
      <c r="AE7" s="175">
        <f>SUM(AE3:AE5)</f>
        <v/>
      </c>
      <c r="AF7" s="175">
        <f>SUM(AF3:AF5)</f>
        <v/>
      </c>
      <c r="AG7" s="175">
        <f>SUM(AG3:AG5)</f>
        <v/>
      </c>
      <c r="AH7" s="175">
        <f>SUM(AH3:AH5)</f>
        <v/>
      </c>
      <c r="AI7" s="175">
        <f>SUM(AI3:AI5)</f>
        <v/>
      </c>
      <c r="AJ7" s="175">
        <f>SUM(AJ3:AJ5)</f>
        <v/>
      </c>
      <c r="AK7" s="175">
        <f>SUM(AK3:AK5)</f>
        <v/>
      </c>
    </row>
    <row r="8" ht="31.5" customHeight="1" s="87"/>
    <row r="9" ht="13.5" customHeight="1" s="87"/>
    <row r="10" hidden="1" ht="13.5" customHeight="1" s="87"/>
    <row r="11" ht="13.5" customHeight="1" s="87"/>
    <row r="12" ht="13.5" customHeight="1" s="87"/>
    <row r="13" ht="13.5" customHeight="1" s="87"/>
    <row r="14" ht="15.75" customHeight="1" s="87"/>
    <row r="15" ht="15.75" customHeight="1" s="87"/>
    <row r="16" ht="15.75" customHeight="1" s="87"/>
    <row r="17" ht="15.75" customHeight="1" s="87"/>
    <row r="18" ht="15.75" customHeight="1" s="87"/>
    <row r="19" ht="15.75" customHeight="1" s="87"/>
    <row r="20" ht="15.75" customHeight="1" s="87"/>
    <row r="21" ht="15.75" customHeight="1" s="87"/>
    <row r="22" ht="15.75" customHeight="1" s="87"/>
    <row r="23" ht="15.75" customHeight="1" s="87"/>
    <row r="24" ht="15.75" customHeight="1" s="87"/>
    <row r="25" ht="15.75" customHeight="1" s="87"/>
    <row r="26" ht="15.75" customHeight="1" s="87"/>
    <row r="27" ht="15.75" customHeight="1" s="87"/>
    <row r="28" ht="15.75" customHeight="1" s="87"/>
    <row r="29" ht="15.75" customHeight="1" s="87"/>
    <row r="30" ht="15.75" customHeight="1" s="87"/>
    <row r="31" ht="15.75" customHeight="1" s="87"/>
    <row r="32" ht="15.75" customHeight="1" s="87"/>
    <row r="33" ht="15.75" customHeight="1" s="87"/>
    <row r="34" ht="15.75" customHeight="1" s="87"/>
    <row r="35" ht="15.75" customHeight="1" s="87"/>
    <row r="36" ht="15.75" customHeight="1" s="87"/>
    <row r="37" ht="15.75" customHeight="1" s="87"/>
    <row r="38" ht="15.75" customHeight="1" s="87"/>
    <row r="39" ht="15.75" customHeight="1" s="87"/>
    <row r="40" ht="15.75" customHeight="1" s="87"/>
    <row r="41" ht="15.75" customHeight="1" s="87"/>
    <row r="42" ht="15.75" customHeight="1" s="87"/>
    <row r="43" ht="15.75" customHeight="1" s="87"/>
    <row r="44" ht="15.75" customHeight="1" s="87"/>
    <row r="45" ht="15.75" customHeight="1" s="87"/>
    <row r="46" ht="15.75" customHeight="1" s="87"/>
    <row r="47" ht="15.75" customHeight="1" s="87"/>
    <row r="48" ht="15.75" customHeight="1" s="87"/>
    <row r="49" ht="15.75" customHeight="1" s="87"/>
    <row r="50" ht="15.75" customHeight="1" s="87"/>
    <row r="51" ht="15.75" customHeight="1" s="87"/>
    <row r="52" ht="15.75" customHeight="1" s="87"/>
    <row r="53" ht="15.75" customHeight="1" s="87"/>
    <row r="54" ht="15.75" customHeight="1" s="87"/>
    <row r="55" ht="15.75" customHeight="1" s="87"/>
    <row r="56" ht="15.75" customHeight="1" s="87"/>
    <row r="57" ht="15.75" customHeight="1" s="87"/>
    <row r="58" ht="15.75" customHeight="1" s="87"/>
    <row r="59" ht="15.75" customHeight="1" s="87"/>
    <row r="60" ht="15.75" customHeight="1" s="87"/>
    <row r="61" ht="15.75" customHeight="1" s="87"/>
    <row r="62" ht="15.75" customHeight="1" s="87"/>
    <row r="63" ht="15.75" customHeight="1" s="87"/>
    <row r="64" ht="15.75" customHeight="1" s="87"/>
    <row r="65" ht="15.75" customHeight="1" s="87"/>
    <row r="66" ht="15.75" customHeight="1" s="87"/>
    <row r="67" ht="15.75" customHeight="1" s="87"/>
    <row r="68" ht="15.75" customHeight="1" s="87"/>
    <row r="69" ht="15.75" customHeight="1" s="87"/>
    <row r="70" ht="15.75" customHeight="1" s="87"/>
    <row r="71" ht="15.75" customHeight="1" s="87"/>
    <row r="72" ht="15.75" customHeight="1" s="87"/>
    <row r="73" ht="15.75" customHeight="1" s="87"/>
    <row r="74" ht="15.75" customHeight="1" s="87"/>
    <row r="75" ht="15.75" customHeight="1" s="87"/>
    <row r="76" ht="15.75" customHeight="1" s="87"/>
    <row r="77" ht="15.75" customHeight="1" s="87"/>
    <row r="78" ht="15.75" customHeight="1" s="87"/>
    <row r="79" ht="15.75" customHeight="1" s="87"/>
    <row r="80" ht="15.75" customHeight="1" s="87"/>
    <row r="81" ht="15.75" customHeight="1" s="87"/>
    <row r="82" ht="15.75" customHeight="1" s="87"/>
    <row r="83" ht="15.75" customHeight="1" s="87"/>
    <row r="84" ht="15.75" customHeight="1" s="87"/>
    <row r="85" ht="15.75" customHeight="1" s="87"/>
    <row r="86" ht="15.75" customHeight="1" s="87"/>
    <row r="87" ht="15.75" customHeight="1" s="87"/>
    <row r="88" ht="15.75" customHeight="1" s="87"/>
    <row r="89" ht="15.75" customHeight="1" s="87"/>
    <row r="90" ht="15.75" customHeight="1" s="87"/>
    <row r="91" ht="15.75" customHeight="1" s="87"/>
    <row r="92" ht="15.75" customHeight="1" s="87"/>
    <row r="93" ht="15.75" customHeight="1" s="87"/>
    <row r="94" ht="15.75" customHeight="1" s="87"/>
    <row r="95" ht="15.75" customHeight="1" s="87"/>
    <row r="96" ht="15.75" customHeight="1" s="87"/>
    <row r="97" ht="15.75" customHeight="1" s="87"/>
    <row r="98" ht="15.75" customHeight="1" s="87"/>
    <row r="99" ht="15.75" customHeight="1" s="87"/>
    <row r="100" ht="15.75" customHeight="1" s="87"/>
    <row r="101" ht="15.75" customHeight="1" s="87"/>
    <row r="102" ht="15.75" customHeight="1" s="87"/>
    <row r="103" ht="15.75" customHeight="1" s="87"/>
    <row r="104" ht="15.75" customHeight="1" s="87"/>
    <row r="105" ht="15.75" customHeight="1" s="87"/>
    <row r="106" ht="15.75" customHeight="1" s="87"/>
    <row r="107" ht="15.75" customHeight="1" s="87"/>
    <row r="108" ht="15.75" customHeight="1" s="87"/>
    <row r="109" ht="15.75" customHeight="1" s="87"/>
    <row r="110" ht="15.75" customHeight="1" s="87"/>
    <row r="111" ht="15.75" customHeight="1" s="87"/>
    <row r="112" ht="15.75" customHeight="1" s="87"/>
    <row r="113" ht="15.75" customHeight="1" s="87"/>
    <row r="114" ht="15.75" customHeight="1" s="87"/>
    <row r="115" ht="15.75" customHeight="1" s="87"/>
    <row r="116" ht="15.75" customHeight="1" s="87"/>
    <row r="117" ht="15.75" customHeight="1" s="87"/>
    <row r="118" ht="15.75" customHeight="1" s="87"/>
    <row r="119" ht="15.75" customHeight="1" s="87"/>
    <row r="120" ht="15.75" customHeight="1" s="87"/>
    <row r="121" ht="15.75" customHeight="1" s="87"/>
    <row r="122" ht="15.75" customHeight="1" s="87"/>
    <row r="123" ht="15.75" customHeight="1" s="87"/>
    <row r="124" ht="15.75" customHeight="1" s="87"/>
    <row r="125" ht="15.75" customHeight="1" s="87"/>
    <row r="126" ht="15.75" customHeight="1" s="87"/>
    <row r="127" ht="15.75" customHeight="1" s="87"/>
    <row r="128" ht="15.75" customHeight="1" s="87"/>
    <row r="129" ht="15.75" customHeight="1" s="87"/>
    <row r="130" ht="15.75" customHeight="1" s="87"/>
    <row r="131" ht="15.75" customHeight="1" s="87"/>
    <row r="132" ht="15.75" customHeight="1" s="87"/>
    <row r="133" ht="15.75" customHeight="1" s="87"/>
    <row r="134" ht="15.75" customHeight="1" s="87"/>
    <row r="135" ht="15.75" customHeight="1" s="87"/>
    <row r="136" ht="15.75" customHeight="1" s="87"/>
    <row r="137" ht="15.75" customHeight="1" s="87"/>
    <row r="138" ht="15.75" customHeight="1" s="87"/>
    <row r="139" ht="15.75" customHeight="1" s="87"/>
    <row r="140" ht="15.75" customHeight="1" s="87"/>
    <row r="141" ht="15.75" customHeight="1" s="87"/>
    <row r="142" ht="15.75" customHeight="1" s="87"/>
    <row r="143" ht="15.75" customHeight="1" s="87"/>
    <row r="144" ht="15.75" customHeight="1" s="87"/>
    <row r="145" ht="15.75" customHeight="1" s="87"/>
    <row r="146" ht="15.75" customHeight="1" s="87"/>
    <row r="147" ht="15.75" customHeight="1" s="87"/>
    <row r="148" ht="15.75" customHeight="1" s="87"/>
    <row r="149" ht="15.75" customHeight="1" s="87"/>
    <row r="150" ht="15.75" customHeight="1" s="87"/>
    <row r="151" ht="15.75" customHeight="1" s="87"/>
    <row r="152" ht="15.75" customHeight="1" s="87"/>
    <row r="153" ht="15.75" customHeight="1" s="87"/>
    <row r="154" ht="15.75" customHeight="1" s="87"/>
    <row r="155" ht="15.75" customHeight="1" s="87"/>
    <row r="156" ht="15.75" customHeight="1" s="87"/>
    <row r="157" ht="15.75" customHeight="1" s="87"/>
    <row r="158" ht="15.75" customHeight="1" s="87"/>
    <row r="159" ht="15.75" customHeight="1" s="87"/>
    <row r="160" ht="15.75" customHeight="1" s="87"/>
    <row r="161" ht="15.75" customHeight="1" s="87"/>
    <row r="162" ht="15.75" customHeight="1" s="87"/>
    <row r="163" ht="15.75" customHeight="1" s="87"/>
    <row r="164" ht="15.75" customHeight="1" s="87"/>
    <row r="165" ht="15.75" customHeight="1" s="87"/>
    <row r="166" ht="15.75" customHeight="1" s="87"/>
    <row r="167" ht="15.75" customHeight="1" s="87"/>
    <row r="168" ht="15.75" customHeight="1" s="87"/>
    <row r="169" ht="15.75" customHeight="1" s="87"/>
    <row r="170" ht="15.75" customHeight="1" s="87"/>
    <row r="171" ht="15.75" customHeight="1" s="87"/>
    <row r="172" ht="15.75" customHeight="1" s="87"/>
    <row r="173" ht="15.75" customHeight="1" s="87"/>
    <row r="174" ht="15.75" customHeight="1" s="87"/>
    <row r="175" ht="15.75" customHeight="1" s="87"/>
    <row r="176" ht="15.75" customHeight="1" s="87"/>
    <row r="177" ht="15.75" customHeight="1" s="87"/>
    <row r="178" ht="15.75" customHeight="1" s="87"/>
    <row r="179" ht="15.75" customHeight="1" s="87"/>
    <row r="180" ht="15.75" customHeight="1" s="87"/>
    <row r="181" ht="15.75" customHeight="1" s="87"/>
    <row r="182" ht="15.75" customHeight="1" s="87"/>
    <row r="183" ht="15.75" customHeight="1" s="87"/>
    <row r="184" ht="15.75" customHeight="1" s="87"/>
    <row r="185" ht="15.75" customHeight="1" s="87"/>
    <row r="186" ht="15.75" customHeight="1" s="87"/>
    <row r="187" ht="15.75" customHeight="1" s="87"/>
    <row r="188" ht="15.75" customHeight="1" s="87"/>
    <row r="189" ht="15.75" customHeight="1" s="87"/>
    <row r="190" ht="15.75" customHeight="1" s="87"/>
    <row r="191" ht="15.75" customHeight="1" s="87"/>
    <row r="192" ht="15.75" customHeight="1" s="87"/>
    <row r="193" ht="15.75" customHeight="1" s="87"/>
    <row r="194" ht="15.75" customHeight="1" s="87"/>
    <row r="195" ht="15.75" customHeight="1" s="87"/>
    <row r="196" ht="15.75" customHeight="1" s="87"/>
    <row r="197" ht="15.75" customHeight="1" s="87"/>
    <row r="198" ht="15.75" customHeight="1" s="87"/>
    <row r="199" ht="15.75" customHeight="1" s="87"/>
    <row r="200" ht="15.75" customHeight="1" s="87"/>
    <row r="201" ht="15.75" customHeight="1" s="87"/>
    <row r="202" ht="15.75" customHeight="1" s="87"/>
    <row r="203" ht="15.75" customHeight="1" s="87"/>
    <row r="204" ht="15.75" customHeight="1" s="87"/>
    <row r="205" ht="15.75" customHeight="1" s="87"/>
    <row r="206" ht="15.75" customHeight="1" s="87"/>
    <row r="207" ht="15.75" customHeight="1" s="87"/>
    <row r="208" ht="15.75" customHeight="1" s="87"/>
    <row r="209" ht="15.75" customHeight="1" s="87"/>
    <row r="210" ht="15.75" customHeight="1" s="87"/>
    <row r="211" ht="15.75" customHeight="1" s="87"/>
    <row r="212" ht="15.75" customHeight="1" s="87"/>
    <row r="213" ht="15.75" customHeight="1" s="87"/>
    <row r="214" ht="15.75" customHeight="1" s="87"/>
    <row r="215" ht="15.75" customHeight="1" s="87"/>
    <row r="216" ht="15.75" customHeight="1" s="87"/>
    <row r="217" ht="15.75" customHeight="1" s="87"/>
    <row r="218" ht="15.75" customHeight="1" s="87"/>
    <row r="219" ht="15.75" customHeight="1" s="87"/>
    <row r="220" ht="15.75" customHeight="1" s="87"/>
    <row r="221" ht="15.75" customHeight="1" s="87"/>
    <row r="222" ht="15.75" customHeight="1" s="87"/>
    <row r="223" ht="15.75" customHeight="1" s="87"/>
    <row r="224" ht="15.75" customHeight="1" s="87"/>
    <row r="225" ht="15.75" customHeight="1" s="87"/>
    <row r="226" ht="15.75" customHeight="1" s="87"/>
    <row r="227" ht="15.75" customHeight="1" s="87"/>
    <row r="228" ht="15.75" customHeight="1" s="87"/>
    <row r="229" ht="15.75" customHeight="1" s="87"/>
    <row r="230" ht="15.75" customHeight="1" s="87"/>
    <row r="231" ht="15.75" customHeight="1" s="87"/>
    <row r="232" ht="15.75" customHeight="1" s="87"/>
    <row r="233" ht="15.75" customHeight="1" s="87"/>
    <row r="234" ht="15.75" customHeight="1" s="87"/>
    <row r="235" ht="15.75" customHeight="1" s="87"/>
    <row r="236" ht="15.75" customHeight="1" s="87"/>
    <row r="237" ht="15.75" customHeight="1" s="87"/>
    <row r="238" ht="15.75" customHeight="1" s="87"/>
    <row r="239" ht="15.75" customHeight="1" s="87"/>
    <row r="240" ht="15.75" customHeight="1" s="87"/>
    <row r="241" ht="15.75" customHeight="1" s="87"/>
    <row r="242" ht="15.75" customHeight="1" s="87"/>
    <row r="243" ht="15.75" customHeight="1" s="87"/>
    <row r="244" ht="15.75" customHeight="1" s="87"/>
    <row r="245" ht="15.75" customHeight="1" s="87"/>
    <row r="246" ht="15.75" customHeight="1" s="87"/>
    <row r="247" ht="15.75" customHeight="1" s="87"/>
    <row r="248" ht="15.75" customHeight="1" s="87"/>
    <row r="249" ht="15.75" customHeight="1" s="87"/>
    <row r="250" ht="15.75" customHeight="1" s="87"/>
    <row r="251" ht="15.75" customHeight="1" s="87"/>
    <row r="252" ht="15.75" customHeight="1" s="87"/>
    <row r="253" ht="15.75" customHeight="1" s="87"/>
    <row r="254" ht="15.75" customHeight="1" s="87"/>
    <row r="255" ht="15.75" customHeight="1" s="87"/>
    <row r="256" ht="15.75" customHeight="1" s="87"/>
    <row r="257" ht="15.75" customHeight="1" s="87"/>
    <row r="258" ht="15.75" customHeight="1" s="87"/>
    <row r="259" ht="15.75" customHeight="1" s="87"/>
    <row r="260" ht="15.75" customHeight="1" s="87"/>
    <row r="261" ht="15.75" customHeight="1" s="87"/>
    <row r="262" ht="15.75" customHeight="1" s="87"/>
    <row r="263" ht="15.75" customHeight="1" s="87"/>
    <row r="264" ht="15.75" customHeight="1" s="87"/>
    <row r="265" ht="15.75" customHeight="1" s="87"/>
    <row r="266" ht="15.75" customHeight="1" s="87"/>
    <row r="267" ht="15.75" customHeight="1" s="87"/>
    <row r="268" ht="15.75" customHeight="1" s="87"/>
    <row r="269" ht="15.75" customHeight="1" s="87"/>
    <row r="270" ht="15.75" customHeight="1" s="87"/>
    <row r="271" ht="15.75" customHeight="1" s="87"/>
    <row r="272" ht="15.75" customHeight="1" s="87"/>
    <row r="273" ht="15.75" customHeight="1" s="87"/>
    <row r="274" ht="15.75" customHeight="1" s="87"/>
    <row r="275" ht="15.75" customHeight="1" s="87"/>
    <row r="276" ht="15.75" customHeight="1" s="87"/>
    <row r="277" ht="15.75" customHeight="1" s="87"/>
    <row r="278" ht="15.75" customHeight="1" s="87"/>
    <row r="279" ht="15.75" customHeight="1" s="87"/>
    <row r="280" ht="15.75" customHeight="1" s="87"/>
    <row r="281" ht="15.75" customHeight="1" s="87"/>
    <row r="282" ht="15.75" customHeight="1" s="87"/>
    <row r="283" ht="15.75" customHeight="1" s="87"/>
    <row r="284" ht="15.75" customHeight="1" s="87"/>
    <row r="285" ht="15.75" customHeight="1" s="87"/>
    <row r="286" ht="15.75" customHeight="1" s="87"/>
    <row r="287" ht="15.75" customHeight="1" s="87"/>
    <row r="288" ht="15.75" customHeight="1" s="87"/>
    <row r="289" ht="15.75" customHeight="1" s="87"/>
    <row r="290" ht="15.75" customHeight="1" s="87"/>
    <row r="291" ht="15.75" customHeight="1" s="87"/>
    <row r="292" ht="15.75" customHeight="1" s="87"/>
    <row r="293" ht="15.75" customHeight="1" s="87"/>
    <row r="294" ht="15.75" customHeight="1" s="87"/>
    <row r="295" ht="15.75" customHeight="1" s="87"/>
    <row r="296" ht="15.75" customHeight="1" s="87"/>
    <row r="297" ht="15.75" customHeight="1" s="87"/>
    <row r="298" ht="15.75" customHeight="1" s="87"/>
    <row r="299" ht="15.75" customHeight="1" s="87"/>
    <row r="300" ht="15.75" customHeight="1" s="87"/>
    <row r="301" ht="15.75" customHeight="1" s="87"/>
    <row r="302" ht="15.75" customHeight="1" s="87"/>
    <row r="303" ht="15.75" customHeight="1" s="87"/>
    <row r="304" ht="15.75" customHeight="1" s="87"/>
    <row r="305" ht="15.75" customHeight="1" s="87"/>
    <row r="306" ht="15.75" customHeight="1" s="87"/>
    <row r="307" ht="15.75" customHeight="1" s="87"/>
    <row r="308" ht="15.75" customHeight="1" s="87"/>
    <row r="309" ht="15.75" customHeight="1" s="87"/>
    <row r="310" ht="15.75" customHeight="1" s="87"/>
    <row r="311" ht="15.75" customHeight="1" s="87"/>
    <row r="312" ht="15.75" customHeight="1" s="87"/>
    <row r="313" ht="15.75" customHeight="1" s="87"/>
    <row r="314" ht="15.75" customHeight="1" s="87"/>
    <row r="315" ht="15.75" customHeight="1" s="87"/>
    <row r="316" ht="15.75" customHeight="1" s="87"/>
    <row r="317" ht="15.75" customHeight="1" s="87"/>
    <row r="318" ht="15.75" customHeight="1" s="87"/>
    <row r="319" ht="15.75" customHeight="1" s="87"/>
    <row r="320" ht="15.75" customHeight="1" s="87"/>
    <row r="321" ht="15.75" customHeight="1" s="87"/>
    <row r="322" ht="15.75" customHeight="1" s="87"/>
    <row r="323" ht="15.75" customHeight="1" s="87"/>
    <row r="324" ht="15.75" customHeight="1" s="87"/>
    <row r="325" ht="15.75" customHeight="1" s="87"/>
    <row r="326" ht="15.75" customHeight="1" s="87"/>
    <row r="327" ht="15.75" customHeight="1" s="87"/>
    <row r="328" ht="15.75" customHeight="1" s="87"/>
    <row r="329" ht="15.75" customHeight="1" s="87"/>
    <row r="330" ht="15.75" customHeight="1" s="87"/>
    <row r="331" ht="15.75" customHeight="1" s="87"/>
    <row r="332" ht="15.75" customHeight="1" s="87"/>
    <row r="333" ht="15.75" customHeight="1" s="87"/>
    <row r="334" ht="15.75" customHeight="1" s="87"/>
    <row r="335" ht="15.75" customHeight="1" s="87"/>
    <row r="336" ht="15.75" customHeight="1" s="87"/>
    <row r="337" ht="15.75" customHeight="1" s="87"/>
    <row r="338" ht="15.75" customHeight="1" s="87"/>
    <row r="339" ht="15.75" customHeight="1" s="87"/>
    <row r="340" ht="15.75" customHeight="1" s="87"/>
    <row r="341" ht="15.75" customHeight="1" s="87"/>
    <row r="342" ht="15.75" customHeight="1" s="87"/>
    <row r="343" ht="15.75" customHeight="1" s="87"/>
    <row r="344" ht="15.75" customHeight="1" s="87"/>
    <row r="345" ht="15.75" customHeight="1" s="87"/>
    <row r="346" ht="15.75" customHeight="1" s="87"/>
    <row r="347" ht="15.75" customHeight="1" s="87"/>
    <row r="348" ht="15.75" customHeight="1" s="87"/>
    <row r="349" ht="15.75" customHeight="1" s="87"/>
    <row r="350" ht="15.75" customHeight="1" s="87"/>
    <row r="351" ht="15.75" customHeight="1" s="87"/>
    <row r="352" ht="15.75" customHeight="1" s="87"/>
    <row r="353" ht="15.75" customHeight="1" s="87"/>
    <row r="354" ht="15.75" customHeight="1" s="87"/>
    <row r="355" ht="15.75" customHeight="1" s="87"/>
    <row r="356" ht="15.75" customHeight="1" s="87"/>
    <row r="357" ht="15.75" customHeight="1" s="87"/>
    <row r="358" ht="15.75" customHeight="1" s="87"/>
    <row r="359" ht="15.75" customHeight="1" s="87"/>
    <row r="360" ht="15.75" customHeight="1" s="87"/>
    <row r="361" ht="15.75" customHeight="1" s="87"/>
    <row r="362" ht="15.75" customHeight="1" s="87"/>
    <row r="363" ht="15.75" customHeight="1" s="87"/>
    <row r="364" ht="15.75" customHeight="1" s="87"/>
    <row r="365" ht="15.75" customHeight="1" s="87"/>
    <row r="366" ht="15.75" customHeight="1" s="87"/>
    <row r="367" ht="15.75" customHeight="1" s="87"/>
    <row r="368" ht="15.75" customHeight="1" s="87"/>
    <row r="369" ht="15.75" customHeight="1" s="87"/>
    <row r="370" ht="15.75" customHeight="1" s="87"/>
    <row r="371" ht="15.75" customHeight="1" s="87"/>
    <row r="372" ht="15.75" customHeight="1" s="87"/>
    <row r="373" ht="15.75" customHeight="1" s="87"/>
    <row r="374" ht="15.75" customHeight="1" s="87"/>
    <row r="375" ht="15.75" customHeight="1" s="87"/>
    <row r="376" ht="15.75" customHeight="1" s="87"/>
    <row r="377" ht="15.75" customHeight="1" s="87"/>
    <row r="378" ht="15.75" customHeight="1" s="87"/>
    <row r="379" ht="15.75" customHeight="1" s="87"/>
    <row r="380" ht="15.75" customHeight="1" s="87"/>
    <row r="381" ht="15.75" customHeight="1" s="87"/>
    <row r="382" ht="15.75" customHeight="1" s="87"/>
    <row r="383" ht="15.75" customHeight="1" s="87"/>
    <row r="384" ht="15.75" customHeight="1" s="87"/>
    <row r="385" ht="15.75" customHeight="1" s="87"/>
    <row r="386" ht="15.75" customHeight="1" s="87"/>
    <row r="387" ht="15.75" customHeight="1" s="87"/>
    <row r="388" ht="15.75" customHeight="1" s="87"/>
    <row r="389" ht="15.75" customHeight="1" s="87"/>
    <row r="390" ht="15.75" customHeight="1" s="87"/>
    <row r="391" ht="15.75" customHeight="1" s="87"/>
    <row r="392" ht="15.75" customHeight="1" s="87"/>
    <row r="393" ht="15.75" customHeight="1" s="87"/>
    <row r="394" ht="15.75" customHeight="1" s="87"/>
    <row r="395" ht="15.75" customHeight="1" s="87"/>
    <row r="396" ht="15.75" customHeight="1" s="87"/>
    <row r="397" ht="15.75" customHeight="1" s="87"/>
    <row r="398" ht="15.75" customHeight="1" s="87"/>
    <row r="399" ht="15.75" customHeight="1" s="87"/>
    <row r="400" ht="15.75" customHeight="1" s="87"/>
    <row r="401" ht="15.75" customHeight="1" s="87"/>
    <row r="402" ht="15.75" customHeight="1" s="87"/>
    <row r="403" ht="15.75" customHeight="1" s="87"/>
    <row r="404" ht="15.75" customHeight="1" s="87"/>
    <row r="405" ht="15.75" customHeight="1" s="87"/>
    <row r="406" ht="15.75" customHeight="1" s="87"/>
    <row r="407" ht="15.75" customHeight="1" s="87"/>
    <row r="408" ht="15.75" customHeight="1" s="87"/>
    <row r="409" ht="15.75" customHeight="1" s="87"/>
    <row r="410" ht="15.75" customHeight="1" s="87"/>
    <row r="411" ht="15.75" customHeight="1" s="87"/>
    <row r="412" ht="15.75" customHeight="1" s="87"/>
    <row r="413" ht="15.75" customHeight="1" s="87"/>
    <row r="414" ht="15.75" customHeight="1" s="87"/>
    <row r="415" ht="15.75" customHeight="1" s="87"/>
    <row r="416" ht="15.75" customHeight="1" s="87"/>
    <row r="417" ht="15.75" customHeight="1" s="87"/>
    <row r="418" ht="15.75" customHeight="1" s="87"/>
    <row r="419" ht="15.75" customHeight="1" s="87"/>
    <row r="420" ht="15.75" customHeight="1" s="87"/>
    <row r="421" ht="15.75" customHeight="1" s="87"/>
    <row r="422" ht="15.75" customHeight="1" s="87"/>
    <row r="423" ht="15.75" customHeight="1" s="87"/>
    <row r="424" ht="15.75" customHeight="1" s="87"/>
    <row r="425" ht="15.75" customHeight="1" s="87"/>
    <row r="426" ht="15.75" customHeight="1" s="87"/>
    <row r="427" ht="15.75" customHeight="1" s="87"/>
    <row r="428" ht="15.75" customHeight="1" s="87"/>
    <row r="429" ht="15.75" customHeight="1" s="87"/>
    <row r="430" ht="15.75" customHeight="1" s="87"/>
    <row r="431" ht="15.75" customHeight="1" s="87"/>
    <row r="432" ht="15.75" customHeight="1" s="87"/>
    <row r="433" ht="15.75" customHeight="1" s="87"/>
    <row r="434" ht="15.75" customHeight="1" s="87"/>
    <row r="435" ht="15.75" customHeight="1" s="87"/>
    <row r="436" ht="15.75" customHeight="1" s="87"/>
    <row r="437" ht="15.75" customHeight="1" s="87"/>
    <row r="438" ht="15.75" customHeight="1" s="87"/>
    <row r="439" ht="15.75" customHeight="1" s="87"/>
    <row r="440" ht="15.75" customHeight="1" s="87"/>
    <row r="441" ht="15.75" customHeight="1" s="87"/>
    <row r="442" ht="15.75" customHeight="1" s="87"/>
    <row r="443" ht="15.75" customHeight="1" s="87"/>
    <row r="444" ht="15.75" customHeight="1" s="87"/>
    <row r="445" ht="15.75" customHeight="1" s="87"/>
    <row r="446" ht="15.75" customHeight="1" s="87"/>
    <row r="447" ht="15.75" customHeight="1" s="87"/>
    <row r="448" ht="15.75" customHeight="1" s="87"/>
    <row r="449" ht="15.75" customHeight="1" s="87"/>
    <row r="450" ht="15.75" customHeight="1" s="87"/>
    <row r="451" ht="15.75" customHeight="1" s="87"/>
    <row r="452" ht="15.75" customHeight="1" s="87"/>
    <row r="453" ht="15.75" customHeight="1" s="87"/>
    <row r="454" ht="15.75" customHeight="1" s="87"/>
    <row r="455" ht="15.75" customHeight="1" s="87"/>
    <row r="456" ht="15.75" customHeight="1" s="87"/>
    <row r="457" ht="15.75" customHeight="1" s="87"/>
    <row r="458" ht="15.75" customHeight="1" s="87"/>
    <row r="459" ht="15.75" customHeight="1" s="87"/>
    <row r="460" ht="15.75" customHeight="1" s="87"/>
    <row r="461" ht="15.75" customHeight="1" s="87"/>
    <row r="462" ht="15.75" customHeight="1" s="87"/>
    <row r="463" ht="15.75" customHeight="1" s="87"/>
    <row r="464" ht="15.75" customHeight="1" s="87"/>
    <row r="465" ht="15.75" customHeight="1" s="87"/>
    <row r="466" ht="15.75" customHeight="1" s="87"/>
    <row r="467" ht="15.75" customHeight="1" s="87"/>
    <row r="468" ht="15.75" customHeight="1" s="87"/>
    <row r="469" ht="15.75" customHeight="1" s="87"/>
    <row r="470" ht="15.75" customHeight="1" s="87"/>
    <row r="471" ht="15.75" customHeight="1" s="87"/>
    <row r="472" ht="15.75" customHeight="1" s="87"/>
    <row r="473" ht="15.75" customHeight="1" s="87"/>
    <row r="474" ht="15.75" customHeight="1" s="87"/>
    <row r="475" ht="15.75" customHeight="1" s="87"/>
    <row r="476" ht="15.75" customHeight="1" s="87"/>
    <row r="477" ht="15.75" customHeight="1" s="87"/>
    <row r="478" ht="15.75" customHeight="1" s="87"/>
    <row r="479" ht="15.75" customHeight="1" s="87"/>
    <row r="480" ht="15.75" customHeight="1" s="87"/>
    <row r="481" ht="15.75" customHeight="1" s="87"/>
    <row r="482" ht="15.75" customHeight="1" s="87"/>
    <row r="483" ht="15.75" customHeight="1" s="87"/>
    <row r="484" ht="15.75" customHeight="1" s="87"/>
    <row r="485" ht="15.75" customHeight="1" s="87"/>
    <row r="486" ht="15.75" customHeight="1" s="87"/>
    <row r="487" ht="15.75" customHeight="1" s="87"/>
    <row r="488" ht="15.75" customHeight="1" s="87"/>
    <row r="489" ht="15.75" customHeight="1" s="87"/>
    <row r="490" ht="15.75" customHeight="1" s="87"/>
    <row r="491" ht="15.75" customHeight="1" s="87"/>
    <row r="492" ht="15.75" customHeight="1" s="87"/>
    <row r="493" ht="15.75" customHeight="1" s="87"/>
    <row r="494" ht="15.75" customHeight="1" s="87"/>
    <row r="495" ht="15.75" customHeight="1" s="87"/>
    <row r="496" ht="15.75" customHeight="1" s="87"/>
    <row r="497" ht="15.75" customHeight="1" s="87"/>
    <row r="498" ht="15.75" customHeight="1" s="87"/>
    <row r="499" ht="15.75" customHeight="1" s="87"/>
    <row r="500" ht="15.75" customHeight="1" s="87"/>
    <row r="501" ht="15.75" customHeight="1" s="87"/>
    <row r="502" ht="15.75" customHeight="1" s="87"/>
    <row r="503" ht="15.75" customHeight="1" s="87"/>
    <row r="504" ht="15.75" customHeight="1" s="87"/>
    <row r="505" ht="15.75" customHeight="1" s="87"/>
    <row r="506" ht="15.75" customHeight="1" s="87"/>
    <row r="507" ht="15.75" customHeight="1" s="87"/>
    <row r="508" ht="15.75" customHeight="1" s="87"/>
    <row r="509" ht="15.75" customHeight="1" s="87"/>
    <row r="510" ht="15.75" customHeight="1" s="87"/>
    <row r="511" ht="15.75" customHeight="1" s="87"/>
    <row r="512" ht="15.75" customHeight="1" s="87"/>
    <row r="513" ht="15.75" customHeight="1" s="87"/>
    <row r="514" ht="15.75" customHeight="1" s="87"/>
    <row r="515" ht="15.75" customHeight="1" s="87"/>
    <row r="516" ht="15.75" customHeight="1" s="87"/>
    <row r="517" ht="15.75" customHeight="1" s="87"/>
    <row r="518" ht="15.75" customHeight="1" s="87"/>
    <row r="519" ht="15.75" customHeight="1" s="87"/>
    <row r="520" ht="15.75" customHeight="1" s="87"/>
    <row r="521" ht="15.75" customHeight="1" s="87"/>
    <row r="522" ht="15.75" customHeight="1" s="87"/>
    <row r="523" ht="15.75" customHeight="1" s="87"/>
    <row r="524" ht="15.75" customHeight="1" s="87"/>
    <row r="525" ht="15.75" customHeight="1" s="87"/>
    <row r="526" ht="15.75" customHeight="1" s="87"/>
    <row r="527" ht="15.75" customHeight="1" s="87"/>
    <row r="528" ht="15.75" customHeight="1" s="87"/>
    <row r="529" ht="15.75" customHeight="1" s="87"/>
    <row r="530" ht="15.75" customHeight="1" s="87"/>
    <row r="531" ht="15.75" customHeight="1" s="87"/>
    <row r="532" ht="15.75" customHeight="1" s="87"/>
    <row r="533" ht="15.75" customHeight="1" s="87"/>
    <row r="534" ht="15.75" customHeight="1" s="87"/>
    <row r="535" ht="15.75" customHeight="1" s="87"/>
    <row r="536" ht="15.75" customHeight="1" s="87"/>
    <row r="537" ht="15.75" customHeight="1" s="87"/>
    <row r="538" ht="15.75" customHeight="1" s="87"/>
    <row r="539" ht="15.75" customHeight="1" s="87"/>
    <row r="540" ht="15.75" customHeight="1" s="87"/>
    <row r="541" ht="15.75" customHeight="1" s="87"/>
    <row r="542" ht="15.75" customHeight="1" s="87"/>
    <row r="543" ht="15.75" customHeight="1" s="87"/>
    <row r="544" ht="15.75" customHeight="1" s="87"/>
    <row r="545" ht="15.75" customHeight="1" s="87"/>
    <row r="546" ht="15.75" customHeight="1" s="87"/>
    <row r="547" ht="15.75" customHeight="1" s="87"/>
    <row r="548" ht="15.75" customHeight="1" s="87"/>
    <row r="549" ht="15.75" customHeight="1" s="87"/>
    <row r="550" ht="15.75" customHeight="1" s="87"/>
    <row r="551" ht="15.75" customHeight="1" s="87"/>
    <row r="552" ht="15.75" customHeight="1" s="87"/>
    <row r="553" ht="15.75" customHeight="1" s="87"/>
    <row r="554" ht="15.75" customHeight="1" s="87"/>
    <row r="555" ht="15.75" customHeight="1" s="87"/>
    <row r="556" ht="15.75" customHeight="1" s="87"/>
    <row r="557" ht="15.75" customHeight="1" s="87"/>
    <row r="558" ht="15.75" customHeight="1" s="87"/>
    <row r="559" ht="15.75" customHeight="1" s="87"/>
    <row r="560" ht="15.75" customHeight="1" s="87"/>
    <row r="561" ht="15.75" customHeight="1" s="87"/>
    <row r="562" ht="15.75" customHeight="1" s="87"/>
    <row r="563" ht="15.75" customHeight="1" s="87"/>
    <row r="564" ht="15.75" customHeight="1" s="87"/>
    <row r="565" ht="15.75" customHeight="1" s="87"/>
    <row r="566" ht="15.75" customHeight="1" s="87"/>
    <row r="567" ht="15.75" customHeight="1" s="87"/>
    <row r="568" ht="15.75" customHeight="1" s="87"/>
    <row r="569" ht="15.75" customHeight="1" s="87"/>
    <row r="570" ht="15.75" customHeight="1" s="87"/>
    <row r="571" ht="15.75" customHeight="1" s="87"/>
    <row r="572" ht="15.75" customHeight="1" s="87"/>
    <row r="573" ht="15.75" customHeight="1" s="87"/>
    <row r="574" ht="15.75" customHeight="1" s="87"/>
    <row r="575" ht="15.75" customHeight="1" s="87"/>
    <row r="576" ht="15.75" customHeight="1" s="87"/>
    <row r="577" ht="15.75" customHeight="1" s="87"/>
    <row r="578" ht="15.75" customHeight="1" s="87"/>
    <row r="579" ht="15.75" customHeight="1" s="87"/>
    <row r="580" ht="15.75" customHeight="1" s="87"/>
    <row r="581" ht="15.75" customHeight="1" s="87"/>
    <row r="582" ht="15.75" customHeight="1" s="87"/>
    <row r="583" ht="15.75" customHeight="1" s="87"/>
    <row r="584" ht="15.75" customHeight="1" s="87"/>
    <row r="585" ht="15.75" customHeight="1" s="87"/>
    <row r="586" ht="15.75" customHeight="1" s="87"/>
    <row r="587" ht="15.75" customHeight="1" s="87"/>
    <row r="588" ht="15.75" customHeight="1" s="87"/>
    <row r="589" ht="15.75" customHeight="1" s="87"/>
    <row r="590" ht="15.75" customHeight="1" s="87"/>
    <row r="591" ht="15.75" customHeight="1" s="87"/>
    <row r="592" ht="15.75" customHeight="1" s="87"/>
    <row r="593" ht="15.75" customHeight="1" s="87"/>
    <row r="594" ht="15.75" customHeight="1" s="87"/>
    <row r="595" ht="15.75" customHeight="1" s="87"/>
    <row r="596" ht="15.75" customHeight="1" s="87"/>
    <row r="597" ht="15.75" customHeight="1" s="87"/>
    <row r="598" ht="15.75" customHeight="1" s="87"/>
    <row r="599" ht="15.75" customHeight="1" s="87"/>
    <row r="600" ht="15.75" customHeight="1" s="87"/>
    <row r="601" ht="15.75" customHeight="1" s="87"/>
    <row r="602" ht="15.75" customHeight="1" s="87"/>
    <row r="603" ht="15.75" customHeight="1" s="87"/>
    <row r="604" ht="15.75" customHeight="1" s="87"/>
    <row r="605" ht="15.75" customHeight="1" s="87"/>
    <row r="606" ht="15.75" customHeight="1" s="87"/>
    <row r="607" ht="15.75" customHeight="1" s="87"/>
    <row r="608" ht="15.75" customHeight="1" s="87"/>
    <row r="609" ht="15.75" customHeight="1" s="87"/>
    <row r="610" ht="15.75" customHeight="1" s="87"/>
    <row r="611" ht="15.75" customHeight="1" s="87"/>
    <row r="612" ht="15.75" customHeight="1" s="87"/>
    <row r="613" ht="15.75" customHeight="1" s="87"/>
    <row r="614" ht="15.75" customHeight="1" s="87"/>
    <row r="615" ht="15.75" customHeight="1" s="87"/>
    <row r="616" ht="15.75" customHeight="1" s="87"/>
    <row r="617" ht="15.75" customHeight="1" s="87"/>
    <row r="618" ht="15.75" customHeight="1" s="87"/>
    <row r="619" ht="15.75" customHeight="1" s="87"/>
    <row r="620" ht="15.75" customHeight="1" s="87"/>
    <row r="621" ht="15.75" customHeight="1" s="87"/>
    <row r="622" ht="15.75" customHeight="1" s="87"/>
    <row r="623" ht="15.75" customHeight="1" s="87"/>
    <row r="624" ht="15.75" customHeight="1" s="87"/>
    <row r="625" ht="15.75" customHeight="1" s="87"/>
    <row r="626" ht="15.75" customHeight="1" s="87"/>
    <row r="627" ht="15.75" customHeight="1" s="87"/>
    <row r="628" ht="15.75" customHeight="1" s="87"/>
    <row r="629" ht="15.75" customHeight="1" s="87"/>
    <row r="630" ht="15.75" customHeight="1" s="87"/>
    <row r="631" ht="15.75" customHeight="1" s="87"/>
    <row r="632" ht="15.75" customHeight="1" s="87"/>
    <row r="633" ht="15.75" customHeight="1" s="87"/>
    <row r="634" ht="15.75" customHeight="1" s="87"/>
    <row r="635" ht="15.75" customHeight="1" s="87"/>
    <row r="636" ht="15.75" customHeight="1" s="87"/>
    <row r="637" ht="15.75" customHeight="1" s="87"/>
    <row r="638" ht="15.75" customHeight="1" s="87"/>
    <row r="639" ht="15.75" customHeight="1" s="87"/>
    <row r="640" ht="15.75" customHeight="1" s="87"/>
    <row r="641" ht="15.75" customHeight="1" s="87"/>
    <row r="642" ht="15.75" customHeight="1" s="87"/>
    <row r="643" ht="15.75" customHeight="1" s="87"/>
    <row r="644" ht="15.75" customHeight="1" s="87"/>
    <row r="645" ht="15.75" customHeight="1" s="87"/>
    <row r="646" ht="15.75" customHeight="1" s="87"/>
    <row r="647" ht="15.75" customHeight="1" s="87"/>
    <row r="648" ht="15.75" customHeight="1" s="87"/>
    <row r="649" ht="15.75" customHeight="1" s="87"/>
    <row r="650" ht="15.75" customHeight="1" s="87"/>
    <row r="651" ht="15.75" customHeight="1" s="87"/>
    <row r="652" ht="15.75" customHeight="1" s="87"/>
    <row r="653" ht="15.75" customHeight="1" s="87"/>
    <row r="654" ht="15.75" customHeight="1" s="87"/>
    <row r="655" ht="15.75" customHeight="1" s="87"/>
    <row r="656" ht="15.75" customHeight="1" s="87"/>
    <row r="657" ht="15.75" customHeight="1" s="87"/>
    <row r="658" ht="15.75" customHeight="1" s="87"/>
    <row r="659" ht="15.75" customHeight="1" s="87"/>
    <row r="660" ht="15.75" customHeight="1" s="87"/>
    <row r="661" ht="15.75" customHeight="1" s="87"/>
    <row r="662" ht="15.75" customHeight="1" s="87"/>
    <row r="663" ht="15.75" customHeight="1" s="87"/>
    <row r="664" ht="15.75" customHeight="1" s="87"/>
    <row r="665" ht="15.75" customHeight="1" s="87"/>
    <row r="666" ht="15.75" customHeight="1" s="87"/>
    <row r="667" ht="15.75" customHeight="1" s="87"/>
    <row r="668" ht="15.75" customHeight="1" s="87"/>
    <row r="669" ht="15.75" customHeight="1" s="87"/>
    <row r="670" ht="15.75" customHeight="1" s="87"/>
    <row r="671" ht="15.75" customHeight="1" s="87"/>
    <row r="672" ht="15.75" customHeight="1" s="87"/>
    <row r="673" ht="15.75" customHeight="1" s="87"/>
    <row r="674" ht="15.75" customHeight="1" s="87"/>
    <row r="675" ht="15.75" customHeight="1" s="87"/>
    <row r="676" ht="15.75" customHeight="1" s="87"/>
    <row r="677" ht="15.75" customHeight="1" s="87"/>
    <row r="678" ht="15.75" customHeight="1" s="87"/>
    <row r="679" ht="15.75" customHeight="1" s="87"/>
    <row r="680" ht="15.75" customHeight="1" s="87"/>
    <row r="681" ht="15.75" customHeight="1" s="87"/>
    <row r="682" ht="15.75" customHeight="1" s="87"/>
    <row r="683" ht="15.75" customHeight="1" s="87"/>
    <row r="684" ht="15.75" customHeight="1" s="87"/>
    <row r="685" ht="15.75" customHeight="1" s="87"/>
    <row r="686" ht="15.75" customHeight="1" s="87"/>
    <row r="687" ht="15.75" customHeight="1" s="87"/>
    <row r="688" ht="15.75" customHeight="1" s="87"/>
    <row r="689" ht="15.75" customHeight="1" s="87"/>
    <row r="690" ht="15.75" customHeight="1" s="87"/>
    <row r="691" ht="15.75" customHeight="1" s="87"/>
    <row r="692" ht="15.75" customHeight="1" s="87"/>
    <row r="693" ht="15.75" customHeight="1" s="87"/>
    <row r="694" ht="15.75" customHeight="1" s="87"/>
    <row r="695" ht="15.75" customHeight="1" s="87"/>
    <row r="696" ht="15.75" customHeight="1" s="87"/>
    <row r="697" ht="15.75" customHeight="1" s="87"/>
    <row r="698" ht="15.75" customHeight="1" s="87"/>
    <row r="699" ht="15.75" customHeight="1" s="87"/>
    <row r="700" ht="15.75" customHeight="1" s="87"/>
    <row r="701" ht="15.75" customHeight="1" s="87"/>
    <row r="702" ht="15.75" customHeight="1" s="87"/>
    <row r="703" ht="15.75" customHeight="1" s="87"/>
    <row r="704" ht="15.75" customHeight="1" s="87"/>
    <row r="705" ht="15.75" customHeight="1" s="87"/>
    <row r="706" ht="15.75" customHeight="1" s="87"/>
    <row r="707" ht="15.75" customHeight="1" s="87"/>
    <row r="708" ht="15.75" customHeight="1" s="87"/>
    <row r="709" ht="15.75" customHeight="1" s="87"/>
    <row r="710" ht="15.75" customHeight="1" s="87"/>
    <row r="711" ht="15.75" customHeight="1" s="87"/>
    <row r="712" ht="15.75" customHeight="1" s="87"/>
    <row r="713" ht="15.75" customHeight="1" s="87"/>
    <row r="714" ht="15.75" customHeight="1" s="87"/>
    <row r="715" ht="15.75" customHeight="1" s="87"/>
    <row r="716" ht="15.75" customHeight="1" s="87"/>
    <row r="717" ht="15.75" customHeight="1" s="87"/>
    <row r="718" ht="15.75" customHeight="1" s="87"/>
    <row r="719" ht="15.75" customHeight="1" s="87"/>
    <row r="720" ht="15.75" customHeight="1" s="87"/>
    <row r="721" ht="15.75" customHeight="1" s="87"/>
    <row r="722" ht="15.75" customHeight="1" s="87"/>
    <row r="723" ht="15.75" customHeight="1" s="87"/>
    <row r="724" ht="15.75" customHeight="1" s="87"/>
    <row r="725" ht="15.75" customHeight="1" s="87"/>
    <row r="726" ht="15.75" customHeight="1" s="87"/>
    <row r="727" ht="15.75" customHeight="1" s="87"/>
    <row r="728" ht="15.75" customHeight="1" s="87"/>
    <row r="729" ht="15.75" customHeight="1" s="87"/>
    <row r="730" ht="15.75" customHeight="1" s="87"/>
    <row r="731" ht="15.75" customHeight="1" s="87"/>
    <row r="732" ht="15.75" customHeight="1" s="87"/>
    <row r="733" ht="15.75" customHeight="1" s="87"/>
    <row r="734" ht="15.75" customHeight="1" s="87"/>
    <row r="735" ht="15.75" customHeight="1" s="87"/>
    <row r="736" ht="15.75" customHeight="1" s="87"/>
    <row r="737" ht="15.75" customHeight="1" s="87"/>
    <row r="738" ht="15.75" customHeight="1" s="87"/>
    <row r="739" ht="15.75" customHeight="1" s="87"/>
    <row r="740" ht="15.75" customHeight="1" s="87"/>
    <row r="741" ht="15.75" customHeight="1" s="87"/>
    <row r="742" ht="15.75" customHeight="1" s="87"/>
    <row r="743" ht="15.75" customHeight="1" s="87"/>
    <row r="744" ht="15.75" customHeight="1" s="87"/>
    <row r="745" ht="15.75" customHeight="1" s="87"/>
    <row r="746" ht="15.75" customHeight="1" s="87"/>
    <row r="747" ht="15.75" customHeight="1" s="87"/>
    <row r="748" ht="15.75" customHeight="1" s="87"/>
    <row r="749" ht="15.75" customHeight="1" s="87"/>
    <row r="750" ht="15.75" customHeight="1" s="87"/>
    <row r="751" ht="15.75" customHeight="1" s="87"/>
    <row r="752" ht="15.75" customHeight="1" s="87"/>
    <row r="753" ht="15.75" customHeight="1" s="87"/>
    <row r="754" ht="15.75" customHeight="1" s="87"/>
    <row r="755" ht="15.75" customHeight="1" s="87"/>
    <row r="756" ht="15.75" customHeight="1" s="87"/>
    <row r="757" ht="15.75" customHeight="1" s="87"/>
    <row r="758" ht="15.75" customHeight="1" s="87"/>
    <row r="759" ht="15.75" customHeight="1" s="87"/>
    <row r="760" ht="15.75" customHeight="1" s="87"/>
    <row r="761" ht="15.75" customHeight="1" s="87"/>
    <row r="762" ht="15.75" customHeight="1" s="87"/>
    <row r="763" ht="15.75" customHeight="1" s="87"/>
    <row r="764" ht="15.75" customHeight="1" s="87"/>
    <row r="765" ht="15.75" customHeight="1" s="87"/>
    <row r="766" ht="15.75" customHeight="1" s="87"/>
    <row r="767" ht="15.75" customHeight="1" s="87"/>
    <row r="768" ht="15.75" customHeight="1" s="87"/>
    <row r="769" ht="15.75" customHeight="1" s="87"/>
    <row r="770" ht="15.75" customHeight="1" s="87"/>
    <row r="771" ht="15.75" customHeight="1" s="87"/>
    <row r="772" ht="15.75" customHeight="1" s="87"/>
    <row r="773" ht="15.75" customHeight="1" s="87"/>
    <row r="774" ht="15.75" customHeight="1" s="87"/>
    <row r="775" ht="15.75" customHeight="1" s="87"/>
    <row r="776" ht="15.75" customHeight="1" s="87"/>
    <row r="777" ht="15.75" customHeight="1" s="87"/>
    <row r="778" ht="15.75" customHeight="1" s="87"/>
    <row r="779" ht="15.75" customHeight="1" s="87"/>
    <row r="780" ht="15.75" customHeight="1" s="87"/>
    <row r="781" ht="15.75" customHeight="1" s="87"/>
    <row r="782" ht="15.75" customHeight="1" s="87"/>
    <row r="783" ht="15.75" customHeight="1" s="87"/>
    <row r="784" ht="15.75" customHeight="1" s="87"/>
    <row r="785" ht="15.75" customHeight="1" s="87"/>
    <row r="786" ht="15.75" customHeight="1" s="87"/>
    <row r="787" ht="15.75" customHeight="1" s="87"/>
    <row r="788" ht="15.75" customHeight="1" s="87"/>
    <row r="789" ht="15.75" customHeight="1" s="87"/>
    <row r="790" ht="15.75" customHeight="1" s="87"/>
    <row r="791" ht="15.75" customHeight="1" s="87"/>
    <row r="792" ht="15.75" customHeight="1" s="87"/>
    <row r="793" ht="15.75" customHeight="1" s="87"/>
    <row r="794" ht="15.75" customHeight="1" s="87"/>
    <row r="795" ht="15.75" customHeight="1" s="87"/>
    <row r="796" ht="15.75" customHeight="1" s="87"/>
    <row r="797" ht="15.75" customHeight="1" s="87"/>
    <row r="798" ht="15.75" customHeight="1" s="87"/>
    <row r="799" ht="15.75" customHeight="1" s="87"/>
    <row r="800" ht="15.75" customHeight="1" s="87"/>
    <row r="801" ht="15.75" customHeight="1" s="87"/>
    <row r="802" ht="15.75" customHeight="1" s="87"/>
    <row r="803" ht="15.75" customHeight="1" s="87"/>
    <row r="804" ht="15.75" customHeight="1" s="87"/>
    <row r="805" ht="15.75" customHeight="1" s="87"/>
    <row r="806" ht="15.75" customHeight="1" s="87"/>
    <row r="807" ht="15.75" customHeight="1" s="87"/>
    <row r="808" ht="15.75" customHeight="1" s="87"/>
    <row r="809" ht="15.75" customHeight="1" s="87"/>
    <row r="810" ht="15.75" customHeight="1" s="87"/>
    <row r="811" ht="15.75" customHeight="1" s="87"/>
    <row r="812" ht="15.75" customHeight="1" s="87"/>
    <row r="813" ht="15.75" customHeight="1" s="87"/>
    <row r="814" ht="15.75" customHeight="1" s="87"/>
    <row r="815" ht="15.75" customHeight="1" s="87"/>
    <row r="816" ht="15.75" customHeight="1" s="87"/>
    <row r="817" ht="15.75" customHeight="1" s="87"/>
    <row r="818" ht="15.75" customHeight="1" s="87"/>
    <row r="819" ht="15.75" customHeight="1" s="87"/>
    <row r="820" ht="15.75" customHeight="1" s="87"/>
    <row r="821" ht="15.75" customHeight="1" s="87"/>
    <row r="822" ht="15.75" customHeight="1" s="87"/>
    <row r="823" ht="15.75" customHeight="1" s="87"/>
    <row r="824" ht="15.75" customHeight="1" s="87"/>
    <row r="825" ht="15.75" customHeight="1" s="87"/>
    <row r="826" ht="15.75" customHeight="1" s="87"/>
    <row r="827" ht="15.75" customHeight="1" s="87"/>
    <row r="828" ht="15.75" customHeight="1" s="87"/>
    <row r="829" ht="15.75" customHeight="1" s="87"/>
    <row r="830" ht="15.75" customHeight="1" s="87"/>
    <row r="831" ht="15.75" customHeight="1" s="87"/>
    <row r="832" ht="15.75" customHeight="1" s="87"/>
    <row r="833" ht="15.75" customHeight="1" s="87"/>
    <row r="834" ht="15.75" customHeight="1" s="87"/>
    <row r="835" ht="15.75" customHeight="1" s="87"/>
    <row r="836" ht="15.75" customHeight="1" s="87"/>
    <row r="837" ht="15.75" customHeight="1" s="87"/>
    <row r="838" ht="15.75" customHeight="1" s="87"/>
    <row r="839" ht="15.75" customHeight="1" s="87"/>
    <row r="840" ht="15.75" customHeight="1" s="87"/>
    <row r="841" ht="15.75" customHeight="1" s="87"/>
    <row r="842" ht="15.75" customHeight="1" s="87"/>
    <row r="843" ht="15.75" customHeight="1" s="87"/>
    <row r="844" ht="15.75" customHeight="1" s="87"/>
    <row r="845" ht="15.75" customHeight="1" s="87"/>
    <row r="846" ht="15.75" customHeight="1" s="87"/>
    <row r="847" ht="15.75" customHeight="1" s="87"/>
    <row r="848" ht="15.75" customHeight="1" s="87"/>
    <row r="849" ht="15.75" customHeight="1" s="87"/>
    <row r="850" ht="15.75" customHeight="1" s="87"/>
    <row r="851" ht="15.75" customHeight="1" s="87"/>
    <row r="852" ht="15.75" customHeight="1" s="87"/>
    <row r="853" ht="15.75" customHeight="1" s="87"/>
    <row r="854" ht="15.75" customHeight="1" s="87"/>
    <row r="855" ht="15.75" customHeight="1" s="87"/>
    <row r="856" ht="15.75" customHeight="1" s="87"/>
    <row r="857" ht="15.75" customHeight="1" s="87"/>
    <row r="858" ht="15.75" customHeight="1" s="87"/>
  </sheetData>
  <mergeCells count="1">
    <mergeCell ref="A1:AL1"/>
  </mergeCells>
  <dataValidations count="2">
    <dataValidation sqref="F9:F13" showDropDown="0" showInputMessage="0" showErrorMessage="1" allowBlank="1" type="list">
      <formula1>$D$1:$D$2</formula1>
    </dataValidation>
    <dataValidation sqref="E9:E13" showDropDown="0" showInputMessage="0" showErrorMessage="1" allowBlank="1" type="list">
      <formula1>$E$1:$E$3</formula1>
    </dataValidation>
  </dataValidation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34"/>
  <sheetViews>
    <sheetView showGridLines="0" workbookViewId="0">
      <selection activeCell="A1" sqref="A1"/>
    </sheetView>
  </sheetViews>
  <sheetFormatPr baseColWidth="8" defaultColWidth="12.625" defaultRowHeight="15" customHeight="1"/>
  <cols>
    <col width="40" customWidth="1" style="5" min="1" max="1"/>
    <col width="18" customWidth="1" style="87" min="2" max="2"/>
    <col width="50" customWidth="1" style="87" min="3" max="6"/>
    <col width="12" customWidth="1" style="87" min="4" max="4"/>
  </cols>
  <sheetData>
    <row r="1">
      <c r="A1" s="162" t="inlineStr">
        <is>
          <t>NORTHHAVEN – INPUTS (jedyny arkusz do ręcznych założeń)</t>
        </is>
      </c>
    </row>
    <row r="2" ht="13.5" customHeight="1" s="87">
      <c r="A2" s="163" t="inlineStr">
        <is>
          <t>Parametr</t>
        </is>
      </c>
      <c r="B2" s="163" t="inlineStr">
        <is>
          <t>Wartość</t>
        </is>
      </c>
      <c r="C2" s="163" t="inlineStr">
        <is>
          <t>Opis</t>
        </is>
      </c>
      <c r="D2" s="163" t="inlineStr">
        <is>
          <t>Jednostka</t>
        </is>
      </c>
    </row>
    <row r="3" ht="13.5" customHeight="1" s="87">
      <c r="A3" s="169" t="inlineStr">
        <is>
          <t>produkt &amp; pricing</t>
        </is>
      </c>
      <c r="B3" s="177" t="n"/>
      <c r="C3" s="177" t="n"/>
      <c r="D3" s="178" t="n"/>
    </row>
    <row r="4" ht="13.5" customHeight="1" s="87">
      <c r="A4" s="173" t="inlineStr">
        <is>
          <t>Waluta</t>
        </is>
      </c>
      <c r="B4" s="172" t="inlineStr">
        <is>
          <t>EUR</t>
        </is>
      </c>
      <c r="C4" s="173" t="inlineStr">
        <is>
          <t>np. PLN / EUR</t>
        </is>
      </c>
      <c r="D4" s="179" t="inlineStr"/>
    </row>
    <row r="5" ht="13.5" customHeight="1" s="87">
      <c r="A5" s="173" t="inlineStr">
        <is>
          <t>Średnia cena / klient / miesiąc</t>
        </is>
      </c>
      <c r="B5" s="165" t="n">
        <v>8000</v>
      </c>
      <c r="C5" s="173" t="inlineStr">
        <is>
          <t>ARPA (miesięcznie)</t>
        </is>
      </c>
      <c r="D5" s="179" t="inlineStr">
        <is>
          <t>PLN</t>
        </is>
      </c>
    </row>
    <row r="6" ht="13.5" customHeight="1" s="87">
      <c r="A6" s="173" t="inlineStr">
        <is>
          <t>Udział klientów SMB</t>
        </is>
      </c>
      <c r="B6" s="168" t="n">
        <v>0.6</v>
      </c>
      <c r="C6" s="173" t="inlineStr">
        <is>
          <t>Suma udziałów = 1</t>
        </is>
      </c>
      <c r="D6" s="179" t="inlineStr">
        <is>
          <t>%</t>
        </is>
      </c>
    </row>
    <row r="7" ht="13.5" customHeight="1" s="87">
      <c r="A7" s="173" t="inlineStr">
        <is>
          <t>Udział klientów MID</t>
        </is>
      </c>
      <c r="B7" s="168" t="n">
        <v>0.3</v>
      </c>
      <c r="C7" s="173" t="inlineStr"/>
      <c r="D7" s="179" t="inlineStr">
        <is>
          <t>%</t>
        </is>
      </c>
    </row>
    <row r="8" ht="13.5" customHeight="1" s="87">
      <c r="A8" s="173" t="inlineStr">
        <is>
          <t>Udział klientów ENT</t>
        </is>
      </c>
      <c r="B8" s="168" t="n">
        <v>0.1</v>
      </c>
      <c r="C8" s="173" t="inlineStr"/>
      <c r="D8" s="179" t="inlineStr">
        <is>
          <t>%</t>
        </is>
      </c>
    </row>
    <row r="9" ht="13.5" customHeight="1" s="87">
      <c r="A9" s="173" t="inlineStr">
        <is>
          <t>Cena SMB (miesięcznie)</t>
        </is>
      </c>
      <c r="B9" s="165" t="n">
        <v>2500</v>
      </c>
      <c r="C9" s="173" t="inlineStr"/>
      <c r="D9" s="179" t="inlineStr">
        <is>
          <t>PLN</t>
        </is>
      </c>
    </row>
    <row r="10" ht="13.5" customHeight="1" s="87">
      <c r="A10" s="173" t="inlineStr">
        <is>
          <t>Cena MID (miesięcznie)</t>
        </is>
      </c>
      <c r="B10" s="165" t="n">
        <v>6000</v>
      </c>
      <c r="C10" s="173" t="inlineStr"/>
      <c r="D10" s="179" t="inlineStr">
        <is>
          <t>PLN</t>
        </is>
      </c>
    </row>
    <row r="11" ht="13.5" customHeight="1" s="87">
      <c r="A11" s="173" t="inlineStr">
        <is>
          <t>Cena ENT (miesięcznie)</t>
        </is>
      </c>
      <c r="B11" s="165" t="n">
        <v>15000</v>
      </c>
      <c r="C11" s="173" t="inlineStr"/>
      <c r="D11" s="179" t="inlineStr">
        <is>
          <t>PLN</t>
        </is>
      </c>
    </row>
    <row r="12" ht="13.5" customHeight="1" s="87">
      <c r="A12" s="173" t="inlineStr"/>
      <c r="B12" s="172" t="inlineStr"/>
      <c r="C12" s="173" t="inlineStr"/>
      <c r="D12" s="179" t="inlineStr"/>
    </row>
    <row r="13" ht="13.5" customHeight="1" s="87">
      <c r="A13" s="169" t="inlineStr">
        <is>
          <t>sprzedaż &amp; retencja</t>
        </is>
      </c>
      <c r="B13" s="177" t="n"/>
      <c r="C13" s="177" t="n"/>
      <c r="D13" s="178" t="n"/>
    </row>
    <row r="14" ht="13.5" customHeight="1" s="87">
      <c r="A14" s="173" t="inlineStr">
        <is>
          <t>Miesiąc startu sprzedaży (1=Month 1)</t>
        </is>
      </c>
      <c r="B14" s="172" t="n">
        <v>1</v>
      </c>
      <c r="C14" s="173" t="inlineStr">
        <is>
          <t>kiedy zaczynasz fakturować</t>
        </is>
      </c>
      <c r="D14" s="179" t="inlineStr"/>
    </row>
    <row r="15" ht="13.5" customHeight="1" s="87">
      <c r="A15" s="173" t="inlineStr">
        <is>
          <t>Nowi klienci w 1. miesiącu sprzedaży</t>
        </is>
      </c>
      <c r="B15" s="172" t="n">
        <v>1</v>
      </c>
      <c r="C15" s="173" t="inlineStr">
        <is>
          <t>pierwszy miesiąc aktywnej sprzedaży</t>
        </is>
      </c>
      <c r="D15" s="179" t="inlineStr"/>
    </row>
    <row r="16" ht="13.5" customHeight="1" s="87">
      <c r="A16" s="173" t="inlineStr">
        <is>
          <t>Wzrost nowych klientów m/m</t>
        </is>
      </c>
      <c r="B16" s="168" t="n">
        <v>0.15</v>
      </c>
      <c r="C16" s="173" t="inlineStr">
        <is>
          <t>np. 0.15 = +15% m/m</t>
        </is>
      </c>
      <c r="D16" s="179" t="inlineStr">
        <is>
          <t>%</t>
        </is>
      </c>
    </row>
    <row r="17" ht="13.5" customHeight="1" s="87">
      <c r="A17" s="173" t="inlineStr">
        <is>
          <t>Churn miesięczny</t>
        </is>
      </c>
      <c r="B17" s="168" t="n">
        <v>0.02</v>
      </c>
      <c r="C17" s="173" t="inlineStr">
        <is>
          <t>np. 0.02 = 2% klientów odpada</t>
        </is>
      </c>
      <c r="D17" s="179" t="inlineStr">
        <is>
          <t>%</t>
        </is>
      </c>
    </row>
    <row r="18" ht="13.5" customHeight="1" s="87">
      <c r="A18" s="173" t="inlineStr"/>
      <c r="B18" s="172" t="inlineStr"/>
      <c r="C18" s="173" t="inlineStr"/>
      <c r="D18" s="179" t="inlineStr"/>
    </row>
    <row r="19" ht="13.5" customHeight="1" s="87">
      <c r="A19" s="169" t="inlineStr">
        <is>
          <t>koszty</t>
        </is>
      </c>
      <c r="B19" s="177" t="n"/>
      <c r="C19" s="177" t="n"/>
      <c r="D19" s="178" t="n"/>
    </row>
    <row r="20" ht="13.5" customHeight="1" s="87">
      <c r="A20" s="173" t="inlineStr">
        <is>
          <t>Cloud cost / klient / miesiąc</t>
        </is>
      </c>
      <c r="B20" s="165" t="n">
        <v>250</v>
      </c>
      <c r="C20" s="173" t="inlineStr">
        <is>
          <t>zmienny koszt per klient</t>
        </is>
      </c>
      <c r="D20" s="179" t="inlineStr">
        <is>
          <t>PLN</t>
        </is>
      </c>
    </row>
    <row r="21" ht="13.5" customHeight="1" s="87">
      <c r="A21" s="173" t="inlineStr">
        <is>
          <t>Stałe koszty operacyjne / miesiąc</t>
        </is>
      </c>
      <c r="B21" s="165" t="n">
        <v>8000</v>
      </c>
      <c r="C21" s="173" t="inlineStr">
        <is>
          <t>narzędzia, księgowość, itp.</t>
        </is>
      </c>
      <c r="D21" s="179" t="inlineStr">
        <is>
          <t>PLN</t>
        </is>
      </c>
    </row>
    <row r="22" ht="13.5" customHeight="1" s="87">
      <c r="A22" s="173" t="inlineStr">
        <is>
          <t>Średnia pensja brutto / miesiąc</t>
        </is>
      </c>
      <c r="B22" s="165" t="n">
        <v>18000</v>
      </c>
      <c r="C22" s="173" t="inlineStr">
        <is>
          <t>uśrednione wynagrodzenie</t>
        </is>
      </c>
      <c r="D22" s="179" t="inlineStr">
        <is>
          <t>PLN</t>
        </is>
      </c>
    </row>
    <row r="23" ht="15.75" customHeight="1" s="87">
      <c r="A23" s="173" t="inlineStr">
        <is>
          <t>Narzut pracodawcy</t>
        </is>
      </c>
      <c r="B23" s="168" t="n">
        <v>0.2</v>
      </c>
      <c r="C23" s="173" t="inlineStr">
        <is>
          <t>ZUS, benefity itp.</t>
        </is>
      </c>
      <c r="D23" s="179" t="inlineStr">
        <is>
          <t>%</t>
        </is>
      </c>
    </row>
    <row r="24" ht="15.75" customHeight="1" s="87">
      <c r="A24" s="173" t="inlineStr"/>
      <c r="B24" s="172" t="inlineStr"/>
      <c r="C24" s="173" t="inlineStr"/>
      <c r="D24" s="179" t="inlineStr"/>
    </row>
    <row r="25" ht="15.75" customHeight="1" s="87">
      <c r="A25" s="169" t="inlineStr">
        <is>
          <t>finansowanie</t>
        </is>
      </c>
      <c r="B25" s="177" t="n"/>
      <c r="C25" s="177" t="n"/>
      <c r="D25" s="178" t="n"/>
    </row>
    <row r="26" ht="15.75" customHeight="1" s="87">
      <c r="A26" s="173" t="inlineStr">
        <is>
          <t>Początkowa gotówka</t>
        </is>
      </c>
      <c r="B26" s="165" t="n">
        <v>0</v>
      </c>
      <c r="C26" s="173" t="inlineStr">
        <is>
          <t>cash na start</t>
        </is>
      </c>
      <c r="D26" s="179" t="inlineStr">
        <is>
          <t>PLN</t>
        </is>
      </c>
    </row>
    <row r="27" ht="15.75" customHeight="1" s="87">
      <c r="A27" s="173" t="inlineStr">
        <is>
          <t>Kwota rundy finansowania</t>
        </is>
      </c>
      <c r="B27" s="165" t="n">
        <v>400000</v>
      </c>
      <c r="C27" s="173" t="inlineStr">
        <is>
          <t>np. seed</t>
        </is>
      </c>
      <c r="D27" s="179" t="inlineStr">
        <is>
          <t>PLN</t>
        </is>
      </c>
    </row>
    <row r="28" ht="15.75" customHeight="1" s="87">
      <c r="A28" s="173" t="inlineStr">
        <is>
          <t>Miesiąc rundy (1=Month 1)</t>
        </is>
      </c>
      <c r="B28" s="172" t="n">
        <v>3</v>
      </c>
      <c r="C28" s="173" t="inlineStr">
        <is>
          <t>kiedy wpływa runda</t>
        </is>
      </c>
      <c r="D28" s="179" t="inlineStr"/>
    </row>
    <row r="29" ht="15.75" customHeight="1" s="87"/>
    <row r="30" ht="15.75" customHeight="1" s="87">
      <c r="A30" t="inlineStr">
        <is>
          <t>series a (optional)</t>
        </is>
      </c>
    </row>
    <row r="31" ht="15.75" customHeight="1" s="87">
      <c r="A31" t="inlineStr">
        <is>
          <t>Series A – czy aktywna? (1=tak,0=nie)</t>
        </is>
      </c>
      <c r="B31" t="n">
        <v>1</v>
      </c>
      <c r="C31" t="inlineStr">
        <is>
          <t>toggle scenariusza</t>
        </is>
      </c>
    </row>
    <row r="32" ht="15.75" customHeight="1" s="87">
      <c r="A32" t="inlineStr">
        <is>
          <t>Series A – miesiąc</t>
        </is>
      </c>
      <c r="B32" t="n">
        <v>18</v>
      </c>
      <c r="C32" t="inlineStr">
        <is>
          <t>np. po ~1.5 roku</t>
        </is>
      </c>
    </row>
    <row r="33" ht="15.75" customHeight="1" s="87">
      <c r="A33" t="inlineStr">
        <is>
          <t>Series A – kwota</t>
        </is>
      </c>
      <c r="B33" t="n">
        <v>2000000</v>
      </c>
      <c r="C33" t="inlineStr">
        <is>
          <t>EUR</t>
        </is>
      </c>
      <c r="D33" t="inlineStr">
        <is>
          <t>EUR</t>
        </is>
      </c>
    </row>
    <row r="34" ht="15.75" customHeight="1" s="87">
      <c r="A34" t="inlineStr">
        <is>
          <t>Nowi klienci / miesiąc PO Series A</t>
        </is>
      </c>
      <c r="B34" t="n">
        <v>1</v>
      </c>
      <c r="C34" t="inlineStr">
        <is>
          <t>skalowanie sprzedaży</t>
        </is>
      </c>
    </row>
    <row r="35" ht="15.75" customHeight="1" s="87"/>
    <row r="36" ht="15.75" customHeight="1" s="87"/>
    <row r="37" ht="15.75" customHeight="1" s="87"/>
    <row r="38" ht="15.75" customHeight="1" s="87"/>
    <row r="39" ht="15.75" customHeight="1" s="87"/>
    <row r="40" ht="15.75" customHeight="1" s="87"/>
    <row r="41" ht="15.75" customHeight="1" s="87"/>
    <row r="42" ht="15.75" customHeight="1" s="87"/>
    <row r="43" ht="15.75" customHeight="1" s="87"/>
    <row r="44" ht="15.75" customHeight="1" s="87"/>
    <row r="45" ht="15.75" customHeight="1" s="87"/>
    <row r="46" ht="15.75" customHeight="1" s="87"/>
    <row r="47" ht="15.75" customHeight="1" s="87"/>
    <row r="48" ht="15.75" customHeight="1" s="87"/>
    <row r="49" ht="15.75" customHeight="1" s="87"/>
    <row r="50" ht="15.75" customHeight="1" s="87"/>
    <row r="51" ht="15.75" customHeight="1" s="87"/>
    <row r="52" ht="15.75" customHeight="1" s="87"/>
    <row r="53" ht="15.75" customHeight="1" s="87"/>
    <row r="54" ht="15.75" customHeight="1" s="87"/>
    <row r="55" ht="15.75" customHeight="1" s="87"/>
    <row r="56" ht="15.75" customHeight="1" s="87"/>
    <row r="57" ht="15.75" customHeight="1" s="87"/>
    <row r="58" ht="15.75" customHeight="1" s="87"/>
    <row r="59" ht="15.75" customHeight="1" s="87"/>
    <row r="60" ht="15.75" customHeight="1" s="87"/>
    <row r="61" ht="15.75" customHeight="1" s="87"/>
    <row r="62" ht="15.75" customHeight="1" s="87"/>
    <row r="63" ht="15.75" customHeight="1" s="87"/>
    <row r="64" ht="15.75" customHeight="1" s="87"/>
    <row r="65" ht="15.75" customHeight="1" s="87"/>
    <row r="66" ht="15.75" customHeight="1" s="87"/>
    <row r="67" ht="15.75" customHeight="1" s="87"/>
    <row r="68" ht="15.75" customHeight="1" s="87"/>
    <row r="69" ht="15.75" customHeight="1" s="87"/>
    <row r="70" ht="15.75" customHeight="1" s="87"/>
    <row r="71" ht="15.75" customHeight="1" s="87"/>
    <row r="72" ht="15.75" customHeight="1" s="87"/>
    <row r="73" ht="15.75" customHeight="1" s="87"/>
    <row r="74" ht="15.75" customHeight="1" s="87"/>
    <row r="75" ht="15.75" customHeight="1" s="87"/>
    <row r="76" ht="15.75" customHeight="1" s="87"/>
    <row r="77" ht="15.75" customHeight="1" s="87"/>
    <row r="78" ht="15.75" customHeight="1" s="87"/>
    <row r="79" ht="15.75" customHeight="1" s="87"/>
    <row r="80" ht="15.75" customHeight="1" s="87"/>
    <row r="81" ht="15.75" customHeight="1" s="87"/>
    <row r="82" ht="15.75" customHeight="1" s="87"/>
    <row r="83" ht="15.75" customHeight="1" s="87"/>
    <row r="84" ht="15.75" customHeight="1" s="87"/>
    <row r="85" ht="15.75" customHeight="1" s="87"/>
    <row r="86" ht="15.75" customHeight="1" s="87"/>
    <row r="87" ht="15.75" customHeight="1" s="87"/>
    <row r="88" ht="15.75" customHeight="1" s="87"/>
    <row r="89" ht="15.75" customHeight="1" s="87"/>
    <row r="90" ht="15.75" customHeight="1" s="87"/>
    <row r="91" ht="15.75" customHeight="1" s="87"/>
    <row r="92" ht="15.75" customHeight="1" s="87"/>
    <row r="93" ht="15.75" customHeight="1" s="87"/>
    <row r="94" ht="15.75" customHeight="1" s="87"/>
    <row r="95" ht="15.75" customHeight="1" s="87"/>
    <row r="96" ht="15.75" customHeight="1" s="87"/>
    <row r="97" ht="15.75" customHeight="1" s="87"/>
    <row r="98" ht="15.75" customHeight="1" s="87"/>
    <row r="99" ht="15.75" customHeight="1" s="87"/>
    <row r="100" ht="15.75" customHeight="1" s="87"/>
    <row r="101" ht="15.75" customHeight="1" s="87"/>
    <row r="102" ht="15.75" customHeight="1" s="87"/>
    <row r="103" ht="15.75" customHeight="1" s="87"/>
    <row r="104" ht="15.75" customHeight="1" s="87"/>
    <row r="105" ht="15.75" customHeight="1" s="87"/>
    <row r="106" ht="15.75" customHeight="1" s="87"/>
    <row r="107" ht="15.75" customHeight="1" s="87"/>
    <row r="108" ht="15.75" customHeight="1" s="87"/>
    <row r="109" ht="15.75" customHeight="1" s="87"/>
    <row r="110" ht="15.75" customHeight="1" s="87"/>
    <row r="111" ht="15.75" customHeight="1" s="87"/>
    <row r="112" ht="15.75" customHeight="1" s="87"/>
    <row r="113" ht="15.75" customHeight="1" s="87"/>
    <row r="114" ht="15.75" customHeight="1" s="87"/>
    <row r="115" ht="15.75" customHeight="1" s="87"/>
    <row r="116" ht="15.75" customHeight="1" s="87"/>
    <row r="117" ht="15.75" customHeight="1" s="87"/>
    <row r="118" ht="15.75" customHeight="1" s="87"/>
    <row r="119" ht="15.75" customHeight="1" s="87"/>
    <row r="120" ht="15.75" customHeight="1" s="87"/>
    <row r="121" ht="15.75" customHeight="1" s="87"/>
    <row r="122" ht="15.75" customHeight="1" s="87"/>
    <row r="123" ht="15.75" customHeight="1" s="87"/>
    <row r="124" ht="15.75" customHeight="1" s="87"/>
    <row r="125" ht="15.75" customHeight="1" s="87"/>
    <row r="126" ht="15.75" customHeight="1" s="87"/>
    <row r="127" ht="15.75" customHeight="1" s="87"/>
    <row r="128" ht="15.75" customHeight="1" s="87"/>
    <row r="129" ht="15.75" customHeight="1" s="87"/>
    <row r="130" ht="15.75" customHeight="1" s="87"/>
    <row r="131" ht="15.75" customHeight="1" s="87"/>
    <row r="132" ht="15.75" customHeight="1" s="87"/>
    <row r="133" ht="15.75" customHeight="1" s="87"/>
    <row r="134" ht="15.75" customHeight="1" s="87"/>
    <row r="135" ht="15.75" customHeight="1" s="87"/>
    <row r="136" ht="15.75" customHeight="1" s="87"/>
    <row r="137" ht="15.75" customHeight="1" s="87"/>
    <row r="138" ht="15.75" customHeight="1" s="87"/>
    <row r="139" ht="15.75" customHeight="1" s="87"/>
    <row r="140" ht="15.75" customHeight="1" s="87"/>
    <row r="141" ht="15.75" customHeight="1" s="87"/>
    <row r="142" ht="15.75" customHeight="1" s="87"/>
    <row r="143" ht="15.75" customHeight="1" s="87"/>
    <row r="144" ht="15.75" customHeight="1" s="87"/>
    <row r="145" ht="15.75" customHeight="1" s="87"/>
    <row r="146" ht="15.75" customHeight="1" s="87"/>
    <row r="147" ht="15.75" customHeight="1" s="87"/>
    <row r="148" ht="15.75" customHeight="1" s="87"/>
    <row r="149" ht="15.75" customHeight="1" s="87"/>
    <row r="150" ht="15.75" customHeight="1" s="87"/>
    <row r="151" ht="15.75" customHeight="1" s="87"/>
    <row r="152" ht="15.75" customHeight="1" s="87"/>
    <row r="153" ht="15.75" customHeight="1" s="87"/>
    <row r="154" ht="15.75" customHeight="1" s="87"/>
    <row r="155" ht="15.75" customHeight="1" s="87"/>
    <row r="156" ht="15.75" customHeight="1" s="87"/>
    <row r="157" ht="15.75" customHeight="1" s="87"/>
    <row r="158" ht="15.75" customHeight="1" s="87"/>
    <row r="159" ht="15.75" customHeight="1" s="87"/>
    <row r="160" ht="15.75" customHeight="1" s="87"/>
    <row r="161" ht="15.75" customHeight="1" s="87"/>
    <row r="162" ht="15.75" customHeight="1" s="87"/>
    <row r="163" ht="15.75" customHeight="1" s="87"/>
    <row r="164" ht="15.75" customHeight="1" s="87"/>
    <row r="165" ht="15.75" customHeight="1" s="87"/>
    <row r="166" ht="15.75" customHeight="1" s="87"/>
    <row r="167" ht="15.75" customHeight="1" s="87"/>
    <row r="168" ht="15.75" customHeight="1" s="87"/>
    <row r="169" ht="15.75" customHeight="1" s="87"/>
    <row r="170" ht="15.75" customHeight="1" s="87"/>
    <row r="171" ht="15.75" customHeight="1" s="87"/>
    <row r="172" ht="15.75" customHeight="1" s="87"/>
    <row r="173" ht="15.75" customHeight="1" s="87"/>
    <row r="174" ht="15.75" customHeight="1" s="87"/>
    <row r="175" ht="15.75" customHeight="1" s="87"/>
    <row r="176" ht="15.75" customHeight="1" s="87"/>
    <row r="177" ht="15.75" customHeight="1" s="87"/>
    <row r="178" ht="15.75" customHeight="1" s="87"/>
    <row r="179" ht="15.75" customHeight="1" s="87"/>
    <row r="180" ht="15.75" customHeight="1" s="87"/>
    <row r="181" ht="15.75" customHeight="1" s="87"/>
    <row r="182" ht="15.75" customHeight="1" s="87"/>
    <row r="183" ht="15.75" customHeight="1" s="87"/>
    <row r="184" ht="15.75" customHeight="1" s="87"/>
    <row r="185" ht="15.75" customHeight="1" s="87"/>
    <row r="186" ht="15.75" customHeight="1" s="87"/>
    <row r="187" ht="15.75" customHeight="1" s="87"/>
    <row r="188" ht="15.75" customHeight="1" s="87"/>
    <row r="189" ht="15.75" customHeight="1" s="87"/>
    <row r="190" ht="15.75" customHeight="1" s="87"/>
    <row r="191" ht="15.75" customHeight="1" s="87"/>
    <row r="192" ht="15.75" customHeight="1" s="87"/>
    <row r="193" ht="15.75" customHeight="1" s="87"/>
    <row r="194" ht="15.75" customHeight="1" s="87"/>
    <row r="195" ht="15.75" customHeight="1" s="87"/>
    <row r="196" ht="15.75" customHeight="1" s="87"/>
    <row r="197" ht="15.75" customHeight="1" s="87"/>
    <row r="198" ht="15.75" customHeight="1" s="87"/>
    <row r="199" ht="15.75" customHeight="1" s="87"/>
    <row r="200" ht="15.75" customHeight="1" s="87"/>
    <row r="201" ht="15.75" customHeight="1" s="87"/>
    <row r="202" ht="15.75" customHeight="1" s="87"/>
    <row r="203" ht="15.75" customHeight="1" s="87"/>
    <row r="204" ht="15.75" customHeight="1" s="87"/>
    <row r="205" ht="15.75" customHeight="1" s="87"/>
    <row r="206" ht="15.75" customHeight="1" s="87"/>
    <row r="207" ht="15.75" customHeight="1" s="87"/>
    <row r="208" ht="15.75" customHeight="1" s="87"/>
    <row r="209" ht="15.75" customHeight="1" s="87"/>
    <row r="210" ht="15.75" customHeight="1" s="87"/>
    <row r="211" ht="15.75" customHeight="1" s="87"/>
    <row r="212" ht="15.75" customHeight="1" s="87"/>
    <row r="213" ht="15.75" customHeight="1" s="87"/>
    <row r="214" ht="15.75" customHeight="1" s="87"/>
    <row r="215" ht="15.75" customHeight="1" s="87"/>
    <row r="216" ht="15.75" customHeight="1" s="87"/>
    <row r="217" ht="15.75" customHeight="1" s="87"/>
    <row r="218" ht="15.75" customHeight="1" s="87"/>
    <row r="219" ht="15.75" customHeight="1" s="87"/>
    <row r="220" ht="15.75" customHeight="1" s="87"/>
    <row r="221" ht="15.75" customHeight="1" s="87"/>
    <row r="222" ht="15.75" customHeight="1" s="87"/>
    <row r="223" ht="15.75" customHeight="1" s="87"/>
    <row r="224" ht="15.75" customHeight="1" s="87"/>
    <row r="225" ht="15.75" customHeight="1" s="87"/>
    <row r="226" ht="15.75" customHeight="1" s="87"/>
    <row r="227" ht="15.75" customHeight="1" s="87"/>
    <row r="228" ht="15.75" customHeight="1" s="87"/>
    <row r="229" ht="15.75" customHeight="1" s="87"/>
    <row r="230" ht="15.75" customHeight="1" s="87"/>
    <row r="231" ht="15.75" customHeight="1" s="87"/>
    <row r="232" ht="15.75" customHeight="1" s="87"/>
    <row r="233" ht="15.75" customHeight="1" s="87"/>
    <row r="234" ht="15.75" customHeight="1" s="87"/>
    <row r="235" ht="15.75" customHeight="1" s="87"/>
    <row r="236" ht="15.75" customHeight="1" s="87"/>
    <row r="237" ht="15.75" customHeight="1" s="87"/>
    <row r="238" ht="15.75" customHeight="1" s="87"/>
    <row r="239" ht="15.75" customHeight="1" s="87"/>
    <row r="240" ht="15.75" customHeight="1" s="87"/>
    <row r="241" ht="15.75" customHeight="1" s="87"/>
    <row r="242" ht="15.75" customHeight="1" s="87"/>
    <row r="243" ht="15.75" customHeight="1" s="87"/>
    <row r="244" ht="15.75" customHeight="1" s="87"/>
    <row r="245" ht="15.75" customHeight="1" s="87"/>
    <row r="246" ht="15.75" customHeight="1" s="87"/>
    <row r="247" ht="15.75" customHeight="1" s="87"/>
    <row r="248" ht="15.75" customHeight="1" s="87"/>
    <row r="249" ht="15.75" customHeight="1" s="87"/>
    <row r="250" ht="15.75" customHeight="1" s="87"/>
    <row r="251" ht="15.75" customHeight="1" s="87"/>
    <row r="252" ht="15.75" customHeight="1" s="87"/>
    <row r="253" ht="15.75" customHeight="1" s="87"/>
    <row r="254" ht="15.75" customHeight="1" s="87"/>
    <row r="255" ht="15.75" customHeight="1" s="87"/>
    <row r="256" ht="15.75" customHeight="1" s="87"/>
    <row r="257" ht="15.75" customHeight="1" s="87"/>
    <row r="258" ht="15.75" customHeight="1" s="87"/>
    <row r="259" ht="15.75" customHeight="1" s="87"/>
    <row r="260" ht="15.75" customHeight="1" s="87"/>
    <row r="261" ht="15.75" customHeight="1" s="87"/>
    <row r="262" ht="15.75" customHeight="1" s="87"/>
    <row r="263" ht="15.75" customHeight="1" s="87"/>
    <row r="264" ht="15.75" customHeight="1" s="87"/>
    <row r="265" ht="15.75" customHeight="1" s="87"/>
    <row r="266" ht="15.75" customHeight="1" s="87"/>
    <row r="267" ht="15.75" customHeight="1" s="87"/>
    <row r="268" ht="15.75" customHeight="1" s="87"/>
    <row r="269" ht="15.75" customHeight="1" s="87"/>
    <row r="270" ht="15.75" customHeight="1" s="87"/>
    <row r="271" ht="15.75" customHeight="1" s="87"/>
    <row r="272" ht="15.75" customHeight="1" s="87"/>
    <row r="273" ht="15.75" customHeight="1" s="87"/>
    <row r="274" ht="15.75" customHeight="1" s="87"/>
    <row r="275" ht="15.75" customHeight="1" s="87"/>
    <row r="276" ht="15.75" customHeight="1" s="87"/>
    <row r="277" ht="15.75" customHeight="1" s="87"/>
    <row r="278" ht="15.75" customHeight="1" s="87"/>
    <row r="279" ht="15.75" customHeight="1" s="87"/>
    <row r="280" ht="15.75" customHeight="1" s="87"/>
    <row r="281" ht="15.75" customHeight="1" s="87"/>
    <row r="282" ht="15.75" customHeight="1" s="87"/>
    <row r="283" ht="15.75" customHeight="1" s="87"/>
    <row r="284" ht="15.75" customHeight="1" s="87"/>
    <row r="285" ht="15.75" customHeight="1" s="87"/>
    <row r="286" ht="15.75" customHeight="1" s="87"/>
    <row r="287" ht="15.75" customHeight="1" s="87"/>
    <row r="288" ht="15.75" customHeight="1" s="87"/>
    <row r="289" ht="15.75" customHeight="1" s="87"/>
    <row r="290" ht="15.75" customHeight="1" s="87"/>
    <row r="291" ht="15.75" customHeight="1" s="87"/>
    <row r="292" ht="15.75" customHeight="1" s="87"/>
    <row r="293" ht="15.75" customHeight="1" s="87"/>
    <row r="294" ht="15.75" customHeight="1" s="87"/>
    <row r="295" ht="15.75" customHeight="1" s="87"/>
    <row r="296" ht="15.75" customHeight="1" s="87"/>
    <row r="297" ht="15.75" customHeight="1" s="87"/>
    <row r="298" ht="15.75" customHeight="1" s="87"/>
    <row r="299" ht="15.75" customHeight="1" s="87"/>
    <row r="300" ht="15.75" customHeight="1" s="87"/>
    <row r="301" ht="15.75" customHeight="1" s="87"/>
    <row r="302" ht="15.75" customHeight="1" s="87"/>
    <row r="303" ht="15.75" customHeight="1" s="87"/>
    <row r="304" ht="15.75" customHeight="1" s="87"/>
    <row r="305" ht="15.75" customHeight="1" s="87"/>
    <row r="306" ht="15.75" customHeight="1" s="87"/>
    <row r="307" ht="15.75" customHeight="1" s="87"/>
    <row r="308" ht="15.75" customHeight="1" s="87"/>
    <row r="309" ht="15.75" customHeight="1" s="87"/>
    <row r="310" ht="15.75" customHeight="1" s="87"/>
    <row r="311" ht="15.75" customHeight="1" s="87"/>
    <row r="312" ht="15.75" customHeight="1" s="87"/>
    <row r="313" ht="15.75" customHeight="1" s="87"/>
    <row r="314" ht="15.75" customHeight="1" s="87"/>
    <row r="315" ht="15.75" customHeight="1" s="87"/>
    <row r="316" ht="15.75" customHeight="1" s="87"/>
    <row r="317" ht="15.75" customHeight="1" s="87"/>
    <row r="318" ht="15.75" customHeight="1" s="87"/>
    <row r="319" ht="15.75" customHeight="1" s="87"/>
    <row r="320" ht="15.75" customHeight="1" s="87"/>
    <row r="321" ht="15.75" customHeight="1" s="87"/>
    <row r="322" ht="15.75" customHeight="1" s="87"/>
    <row r="323" ht="15.75" customHeight="1" s="87"/>
    <row r="324" ht="15.75" customHeight="1" s="87"/>
    <row r="325" ht="15.75" customHeight="1" s="87"/>
    <row r="326" ht="15.75" customHeight="1" s="87"/>
    <row r="327" ht="15.75" customHeight="1" s="87"/>
    <row r="328" ht="15.75" customHeight="1" s="87"/>
    <row r="329" ht="15.75" customHeight="1" s="87"/>
    <row r="330" ht="15.75" customHeight="1" s="87"/>
    <row r="331" ht="15.75" customHeight="1" s="87"/>
    <row r="332" ht="15.75" customHeight="1" s="87"/>
    <row r="333" ht="15.75" customHeight="1" s="87"/>
    <row r="334" ht="15.75" customHeight="1" s="87"/>
    <row r="335" ht="15.75" customHeight="1" s="87"/>
    <row r="336" ht="15.75" customHeight="1" s="87"/>
    <row r="337" ht="15.75" customHeight="1" s="87"/>
    <row r="338" ht="15.75" customHeight="1" s="87"/>
    <row r="339" ht="15.75" customHeight="1" s="87"/>
    <row r="340" ht="15.75" customHeight="1" s="87"/>
    <row r="341" ht="15.75" customHeight="1" s="87"/>
    <row r="342" ht="15.75" customHeight="1" s="87"/>
    <row r="343" ht="15.75" customHeight="1" s="87"/>
    <row r="344" ht="15.75" customHeight="1" s="87"/>
    <row r="345" ht="15.75" customHeight="1" s="87"/>
    <row r="346" ht="15.75" customHeight="1" s="87"/>
    <row r="347" ht="15.75" customHeight="1" s="87"/>
    <row r="348" ht="15.75" customHeight="1" s="87"/>
    <row r="349" ht="15.75" customHeight="1" s="87"/>
    <row r="350" ht="15.75" customHeight="1" s="87"/>
    <row r="351" ht="15.75" customHeight="1" s="87"/>
    <row r="352" ht="15.75" customHeight="1" s="87"/>
    <row r="353" ht="15.75" customHeight="1" s="87"/>
    <row r="354" ht="15.75" customHeight="1" s="87"/>
    <row r="355" ht="15.75" customHeight="1" s="87"/>
    <row r="356" ht="15.75" customHeight="1" s="87"/>
    <row r="357" ht="15.75" customHeight="1" s="87"/>
    <row r="358" ht="15.75" customHeight="1" s="87"/>
    <row r="359" ht="15.75" customHeight="1" s="87"/>
    <row r="360" ht="15.75" customHeight="1" s="87"/>
    <row r="361" ht="15.75" customHeight="1" s="87"/>
    <row r="362" ht="15.75" customHeight="1" s="87"/>
    <row r="363" ht="15.75" customHeight="1" s="87"/>
    <row r="364" ht="15.75" customHeight="1" s="87"/>
    <row r="365" ht="15.75" customHeight="1" s="87"/>
    <row r="366" ht="15.75" customHeight="1" s="87"/>
    <row r="367" ht="15.75" customHeight="1" s="87"/>
    <row r="368" ht="15.75" customHeight="1" s="87"/>
    <row r="369" ht="15.75" customHeight="1" s="87"/>
    <row r="370" ht="15.75" customHeight="1" s="87"/>
    <row r="371" ht="15.75" customHeight="1" s="87"/>
    <row r="372" ht="15.75" customHeight="1" s="87"/>
    <row r="373" ht="15.75" customHeight="1" s="87"/>
    <row r="374" ht="15.75" customHeight="1" s="87"/>
    <row r="375" ht="15.75" customHeight="1" s="87"/>
    <row r="376" ht="15.75" customHeight="1" s="87"/>
    <row r="377" ht="15.75" customHeight="1" s="87"/>
    <row r="378" ht="15.75" customHeight="1" s="87"/>
    <row r="379" ht="15.75" customHeight="1" s="87"/>
    <row r="380" ht="15.75" customHeight="1" s="87"/>
    <row r="381" ht="15.75" customHeight="1" s="87"/>
    <row r="382" ht="15.75" customHeight="1" s="87"/>
    <row r="383" ht="15.75" customHeight="1" s="87"/>
    <row r="384" ht="15.75" customHeight="1" s="87"/>
    <row r="385" ht="15.75" customHeight="1" s="87"/>
    <row r="386" ht="15.75" customHeight="1" s="87"/>
    <row r="387" ht="15.75" customHeight="1" s="87"/>
    <row r="388" ht="15.75" customHeight="1" s="87"/>
    <row r="389" ht="15.75" customHeight="1" s="87"/>
    <row r="390" ht="15.75" customHeight="1" s="87"/>
    <row r="391" ht="15.75" customHeight="1" s="87"/>
    <row r="392" ht="15.75" customHeight="1" s="87"/>
    <row r="393" ht="15.75" customHeight="1" s="87"/>
    <row r="394" ht="15.75" customHeight="1" s="87"/>
    <row r="395" ht="15.75" customHeight="1" s="87"/>
    <row r="396" ht="15.75" customHeight="1" s="87"/>
    <row r="397" ht="15.75" customHeight="1" s="87"/>
    <row r="398" ht="15.75" customHeight="1" s="87"/>
    <row r="399" ht="15.75" customHeight="1" s="87"/>
    <row r="400" ht="15.75" customHeight="1" s="87"/>
    <row r="401" ht="15.75" customHeight="1" s="87"/>
    <row r="402" ht="15.75" customHeight="1" s="87"/>
    <row r="403" ht="15.75" customHeight="1" s="87"/>
    <row r="404" ht="15.75" customHeight="1" s="87"/>
    <row r="405" ht="15.75" customHeight="1" s="87"/>
    <row r="406" ht="15.75" customHeight="1" s="87"/>
    <row r="407" ht="15.75" customHeight="1" s="87"/>
    <row r="408" ht="15.75" customHeight="1" s="87"/>
    <row r="409" ht="15.75" customHeight="1" s="87"/>
    <row r="410" ht="15.75" customHeight="1" s="87"/>
    <row r="411" ht="15.75" customHeight="1" s="87"/>
    <row r="412" ht="15.75" customHeight="1" s="87"/>
    <row r="413" ht="15.75" customHeight="1" s="87"/>
    <row r="414" ht="15.75" customHeight="1" s="87"/>
    <row r="415" ht="15.75" customHeight="1" s="87"/>
    <row r="416" ht="15.75" customHeight="1" s="87"/>
    <row r="417" ht="15.75" customHeight="1" s="87"/>
    <row r="418" ht="15.75" customHeight="1" s="87"/>
    <row r="419" ht="15.75" customHeight="1" s="87"/>
    <row r="420" ht="15.75" customHeight="1" s="87"/>
    <row r="421" ht="15.75" customHeight="1" s="87"/>
    <row r="422" ht="15.75" customHeight="1" s="87"/>
    <row r="423" ht="15.75" customHeight="1" s="87"/>
    <row r="424" ht="15.75" customHeight="1" s="87"/>
    <row r="425" ht="15.75" customHeight="1" s="87"/>
    <row r="426" ht="15.75" customHeight="1" s="87"/>
    <row r="427" ht="15.75" customHeight="1" s="87"/>
    <row r="428" ht="15.75" customHeight="1" s="87"/>
    <row r="429" ht="15.75" customHeight="1" s="87"/>
    <row r="430" ht="15.75" customHeight="1" s="87"/>
    <row r="431" ht="15.75" customHeight="1" s="87"/>
    <row r="432" ht="15.75" customHeight="1" s="87"/>
    <row r="433" ht="15.75" customHeight="1" s="87"/>
    <row r="434" ht="15.75" customHeight="1" s="87"/>
    <row r="435" ht="15.75" customHeight="1" s="87"/>
    <row r="436" ht="15.75" customHeight="1" s="87"/>
    <row r="437" ht="15.75" customHeight="1" s="87"/>
    <row r="438" ht="15.75" customHeight="1" s="87"/>
    <row r="439" ht="15.75" customHeight="1" s="87"/>
    <row r="440" ht="15.75" customHeight="1" s="87"/>
    <row r="441" ht="15.75" customHeight="1" s="87"/>
    <row r="442" ht="15.75" customHeight="1" s="87"/>
    <row r="443" ht="15.75" customHeight="1" s="87"/>
    <row r="444" ht="15.75" customHeight="1" s="87"/>
    <row r="445" ht="15.75" customHeight="1" s="87"/>
    <row r="446" ht="15.75" customHeight="1" s="87"/>
    <row r="447" ht="15.75" customHeight="1" s="87"/>
    <row r="448" ht="15.75" customHeight="1" s="87"/>
    <row r="449" ht="15.75" customHeight="1" s="87"/>
    <row r="450" ht="15.75" customHeight="1" s="87"/>
    <row r="451" ht="15.75" customHeight="1" s="87"/>
    <row r="452" ht="15.75" customHeight="1" s="87"/>
    <row r="453" ht="15.75" customHeight="1" s="87"/>
    <row r="454" ht="15.75" customHeight="1" s="87"/>
    <row r="455" ht="15.75" customHeight="1" s="87"/>
    <row r="456" ht="15.75" customHeight="1" s="87"/>
    <row r="457" ht="15.75" customHeight="1" s="87"/>
    <row r="458" ht="15.75" customHeight="1" s="87"/>
    <row r="459" ht="15.75" customHeight="1" s="87"/>
    <row r="460" ht="15.75" customHeight="1" s="87"/>
    <row r="461" ht="15.75" customHeight="1" s="87"/>
    <row r="462" ht="15.75" customHeight="1" s="87"/>
    <row r="463" ht="15.75" customHeight="1" s="87"/>
    <row r="464" ht="15.75" customHeight="1" s="87"/>
    <row r="465" ht="15.75" customHeight="1" s="87"/>
    <row r="466" ht="15.75" customHeight="1" s="87"/>
    <row r="467" ht="15.75" customHeight="1" s="87"/>
    <row r="468" ht="15.75" customHeight="1" s="87"/>
    <row r="469" ht="15.75" customHeight="1" s="87"/>
    <row r="470" ht="15.75" customHeight="1" s="87"/>
    <row r="471" ht="15.75" customHeight="1" s="87"/>
    <row r="472" ht="15.75" customHeight="1" s="87"/>
    <row r="473" ht="15.75" customHeight="1" s="87"/>
    <row r="474" ht="15.75" customHeight="1" s="87"/>
    <row r="475" ht="15.75" customHeight="1" s="87"/>
    <row r="476" ht="15.75" customHeight="1" s="87"/>
    <row r="477" ht="15.75" customHeight="1" s="87"/>
    <row r="478" ht="15.75" customHeight="1" s="87"/>
    <row r="479" ht="15.75" customHeight="1" s="87"/>
    <row r="480" ht="15.75" customHeight="1" s="87"/>
    <row r="481" ht="15.75" customHeight="1" s="87"/>
    <row r="482" ht="15.75" customHeight="1" s="87"/>
    <row r="483" ht="15.75" customHeight="1" s="87"/>
    <row r="484" ht="15.75" customHeight="1" s="87"/>
    <row r="485" ht="15.75" customHeight="1" s="87"/>
    <row r="486" ht="15.75" customHeight="1" s="87"/>
    <row r="487" ht="15.75" customHeight="1" s="87"/>
    <row r="488" ht="15.75" customHeight="1" s="87"/>
    <row r="489" ht="15.75" customHeight="1" s="87"/>
    <row r="490" ht="15.75" customHeight="1" s="87"/>
    <row r="491" ht="15.75" customHeight="1" s="87"/>
    <row r="492" ht="15.75" customHeight="1" s="87"/>
    <row r="493" ht="15.75" customHeight="1" s="87"/>
    <row r="494" ht="15.75" customHeight="1" s="87"/>
    <row r="495" ht="15.75" customHeight="1" s="87"/>
    <row r="496" ht="15.75" customHeight="1" s="87"/>
    <row r="497" ht="15.75" customHeight="1" s="87"/>
    <row r="498" ht="15.75" customHeight="1" s="87"/>
    <row r="499" ht="15.75" customHeight="1" s="87"/>
    <row r="500" ht="15.75" customHeight="1" s="87"/>
    <row r="501" ht="15.75" customHeight="1" s="87"/>
    <row r="502" ht="15.75" customHeight="1" s="87"/>
    <row r="503" ht="15.75" customHeight="1" s="87"/>
    <row r="504" ht="15.75" customHeight="1" s="87"/>
    <row r="505" ht="15.75" customHeight="1" s="87"/>
    <row r="506" ht="15.75" customHeight="1" s="87"/>
    <row r="507" ht="15.75" customHeight="1" s="87"/>
    <row r="508" ht="15.75" customHeight="1" s="87"/>
    <row r="509" ht="15.75" customHeight="1" s="87"/>
    <row r="510" ht="15.75" customHeight="1" s="87"/>
    <row r="511" ht="15.75" customHeight="1" s="87"/>
    <row r="512" ht="15.75" customHeight="1" s="87"/>
    <row r="513" ht="15.75" customHeight="1" s="87"/>
    <row r="514" ht="15.75" customHeight="1" s="87"/>
    <row r="515" ht="15.75" customHeight="1" s="87"/>
    <row r="516" ht="15.75" customHeight="1" s="87"/>
    <row r="517" ht="15.75" customHeight="1" s="87"/>
    <row r="518" ht="15.75" customHeight="1" s="87"/>
    <row r="519" ht="15.75" customHeight="1" s="87"/>
    <row r="520" ht="15.75" customHeight="1" s="87"/>
    <row r="521" ht="15.75" customHeight="1" s="87"/>
    <row r="522" ht="15.75" customHeight="1" s="87"/>
    <row r="523" ht="15.75" customHeight="1" s="87"/>
    <row r="524" ht="15.75" customHeight="1" s="87"/>
    <row r="525" ht="15.75" customHeight="1" s="87"/>
    <row r="526" ht="15.75" customHeight="1" s="87"/>
    <row r="527" ht="15.75" customHeight="1" s="87"/>
    <row r="528" ht="15.75" customHeight="1" s="87"/>
    <row r="529" ht="15.75" customHeight="1" s="87"/>
    <row r="530" ht="15.75" customHeight="1" s="87"/>
    <row r="531" ht="15.75" customHeight="1" s="87"/>
    <row r="532" ht="15.75" customHeight="1" s="87"/>
    <row r="533" ht="15.75" customHeight="1" s="87"/>
    <row r="534" ht="15.75" customHeight="1" s="87"/>
    <row r="535" ht="15.75" customHeight="1" s="87"/>
    <row r="536" ht="15.75" customHeight="1" s="87"/>
    <row r="537" ht="15.75" customHeight="1" s="87"/>
    <row r="538" ht="15.75" customHeight="1" s="87"/>
    <row r="539" ht="15.75" customHeight="1" s="87"/>
    <row r="540" ht="15.75" customHeight="1" s="87"/>
    <row r="541" ht="15.75" customHeight="1" s="87"/>
    <row r="542" ht="15.75" customHeight="1" s="87"/>
    <row r="543" ht="15.75" customHeight="1" s="87"/>
    <row r="544" ht="15.75" customHeight="1" s="87"/>
    <row r="545" ht="15.75" customHeight="1" s="87"/>
    <row r="546" ht="15.75" customHeight="1" s="87"/>
    <row r="547" ht="15.75" customHeight="1" s="87"/>
    <row r="548" ht="15.75" customHeight="1" s="87"/>
    <row r="549" ht="15.75" customHeight="1" s="87"/>
    <row r="550" ht="15.75" customHeight="1" s="87"/>
    <row r="551" ht="15.75" customHeight="1" s="87"/>
    <row r="552" ht="15.75" customHeight="1" s="87"/>
    <row r="553" ht="15.75" customHeight="1" s="87"/>
    <row r="554" ht="15.75" customHeight="1" s="87"/>
    <row r="555" ht="15.75" customHeight="1" s="87"/>
    <row r="556" ht="15.75" customHeight="1" s="87"/>
    <row r="557" ht="15.75" customHeight="1" s="87"/>
    <row r="558" ht="15.75" customHeight="1" s="87"/>
    <row r="559" ht="15.75" customHeight="1" s="87"/>
    <row r="560" ht="15.75" customHeight="1" s="87"/>
    <row r="561" ht="15.75" customHeight="1" s="87"/>
    <row r="562" ht="15.75" customHeight="1" s="87"/>
    <row r="563" ht="15.75" customHeight="1" s="87"/>
    <row r="564" ht="15.75" customHeight="1" s="87"/>
    <row r="565" ht="15.75" customHeight="1" s="87"/>
    <row r="566" ht="15.75" customHeight="1" s="87"/>
    <row r="567" ht="15.75" customHeight="1" s="87"/>
    <row r="568" ht="15.75" customHeight="1" s="87"/>
    <row r="569" ht="15.75" customHeight="1" s="87"/>
    <row r="570" ht="15.75" customHeight="1" s="87"/>
    <row r="571" ht="15.75" customHeight="1" s="87"/>
    <row r="572" ht="15.75" customHeight="1" s="87"/>
    <row r="573" ht="15.75" customHeight="1" s="87"/>
    <row r="574" ht="15.75" customHeight="1" s="87"/>
    <row r="575" ht="15.75" customHeight="1" s="87"/>
    <row r="576" ht="15.75" customHeight="1" s="87"/>
    <row r="577" ht="15.75" customHeight="1" s="87"/>
    <row r="578" ht="15.75" customHeight="1" s="87"/>
    <row r="579" ht="15.75" customHeight="1" s="87"/>
    <row r="580" ht="15.75" customHeight="1" s="87"/>
    <row r="581" ht="15.75" customHeight="1" s="87"/>
    <row r="582" ht="15.75" customHeight="1" s="87"/>
    <row r="583" ht="15.75" customHeight="1" s="87"/>
    <row r="584" ht="15.75" customHeight="1" s="87"/>
    <row r="585" ht="15.75" customHeight="1" s="87"/>
    <row r="586" ht="15.75" customHeight="1" s="87"/>
    <row r="587" ht="15.75" customHeight="1" s="87"/>
    <row r="588" ht="15.75" customHeight="1" s="87"/>
    <row r="589" ht="15.75" customHeight="1" s="87"/>
    <row r="590" ht="15.75" customHeight="1" s="87"/>
    <row r="591" ht="15.75" customHeight="1" s="87"/>
    <row r="592" ht="15.75" customHeight="1" s="87"/>
    <row r="593" ht="15.75" customHeight="1" s="87"/>
    <row r="594" ht="15.75" customHeight="1" s="87"/>
    <row r="595" ht="15.75" customHeight="1" s="87"/>
    <row r="596" ht="15.75" customHeight="1" s="87"/>
    <row r="597" ht="15.75" customHeight="1" s="87"/>
    <row r="598" ht="15.75" customHeight="1" s="87"/>
    <row r="599" ht="15.75" customHeight="1" s="87"/>
    <row r="600" ht="15.75" customHeight="1" s="87"/>
    <row r="601" ht="15.75" customHeight="1" s="87"/>
    <row r="602" ht="15.75" customHeight="1" s="87"/>
    <row r="603" ht="15.75" customHeight="1" s="87"/>
    <row r="604" ht="15.75" customHeight="1" s="87"/>
    <row r="605" ht="15.75" customHeight="1" s="87"/>
    <row r="606" ht="15.75" customHeight="1" s="87"/>
    <row r="607" ht="15.75" customHeight="1" s="87"/>
    <row r="608" ht="15.75" customHeight="1" s="87"/>
    <row r="609" ht="15.75" customHeight="1" s="87"/>
    <row r="610" ht="15.75" customHeight="1" s="87"/>
    <row r="611" ht="15.75" customHeight="1" s="87"/>
    <row r="612" ht="15.75" customHeight="1" s="87"/>
    <row r="613" ht="15.75" customHeight="1" s="87"/>
    <row r="614" ht="15.75" customHeight="1" s="87"/>
    <row r="615" ht="15.75" customHeight="1" s="87"/>
    <row r="616" ht="15.75" customHeight="1" s="87"/>
    <row r="617" ht="15.75" customHeight="1" s="87"/>
    <row r="618" ht="15.75" customHeight="1" s="87"/>
    <row r="619" ht="15.75" customHeight="1" s="87"/>
    <row r="620" ht="15.75" customHeight="1" s="87"/>
    <row r="621" ht="15.75" customHeight="1" s="87"/>
    <row r="622" ht="15.75" customHeight="1" s="87"/>
    <row r="623" ht="15.75" customHeight="1" s="87"/>
    <row r="624" ht="15.75" customHeight="1" s="87"/>
    <row r="625" ht="15.75" customHeight="1" s="87"/>
    <row r="626" ht="15.75" customHeight="1" s="87"/>
    <row r="627" ht="15.75" customHeight="1" s="87"/>
    <row r="628" ht="15.75" customHeight="1" s="87"/>
    <row r="629" ht="15.75" customHeight="1" s="87"/>
    <row r="630" ht="15.75" customHeight="1" s="87"/>
    <row r="631" ht="15.75" customHeight="1" s="87"/>
    <row r="632" ht="15.75" customHeight="1" s="87"/>
    <row r="633" ht="15.75" customHeight="1" s="87"/>
    <row r="634" ht="15.75" customHeight="1" s="87"/>
    <row r="635" ht="15.75" customHeight="1" s="87"/>
    <row r="636" ht="15.75" customHeight="1" s="87"/>
    <row r="637" ht="15.75" customHeight="1" s="87"/>
    <row r="638" ht="15.75" customHeight="1" s="87"/>
    <row r="639" ht="15.75" customHeight="1" s="87"/>
    <row r="640" ht="15.75" customHeight="1" s="87"/>
    <row r="641" ht="15.75" customHeight="1" s="87"/>
    <row r="642" ht="15.75" customHeight="1" s="87"/>
    <row r="643" ht="15.75" customHeight="1" s="87"/>
    <row r="644" ht="15.75" customHeight="1" s="87"/>
    <row r="645" ht="15.75" customHeight="1" s="87"/>
    <row r="646" ht="15.75" customHeight="1" s="87"/>
    <row r="647" ht="15.75" customHeight="1" s="87"/>
    <row r="648" ht="15.75" customHeight="1" s="87"/>
    <row r="649" ht="15.75" customHeight="1" s="87"/>
    <row r="650" ht="15.75" customHeight="1" s="87"/>
    <row r="651" ht="15.75" customHeight="1" s="87"/>
    <row r="652" ht="15.75" customHeight="1" s="87"/>
    <row r="653" ht="15.75" customHeight="1" s="87"/>
    <row r="654" ht="15.75" customHeight="1" s="87"/>
    <row r="655" ht="15.75" customHeight="1" s="87"/>
    <row r="656" ht="15.75" customHeight="1" s="87"/>
    <row r="657" ht="15.75" customHeight="1" s="87"/>
    <row r="658" ht="15.75" customHeight="1" s="87"/>
    <row r="659" ht="15.75" customHeight="1" s="87"/>
    <row r="660" ht="15.75" customHeight="1" s="87"/>
    <row r="661" ht="15.75" customHeight="1" s="87"/>
    <row r="662" ht="15.75" customHeight="1" s="87"/>
    <row r="663" ht="15.75" customHeight="1" s="87"/>
    <row r="664" ht="15.75" customHeight="1" s="87"/>
    <row r="665" ht="15.75" customHeight="1" s="87"/>
    <row r="666" ht="15.75" customHeight="1" s="87"/>
    <row r="667" ht="15.75" customHeight="1" s="87"/>
    <row r="668" ht="15.75" customHeight="1" s="87"/>
    <row r="669" ht="15.75" customHeight="1" s="87"/>
    <row r="670" ht="15.75" customHeight="1" s="87"/>
    <row r="671" ht="15.75" customHeight="1" s="87"/>
    <row r="672" ht="15.75" customHeight="1" s="87"/>
    <row r="673" ht="15.75" customHeight="1" s="87"/>
    <row r="674" ht="15.75" customHeight="1" s="87"/>
    <row r="675" ht="15.75" customHeight="1" s="87"/>
    <row r="676" ht="15.75" customHeight="1" s="87"/>
    <row r="677" ht="15.75" customHeight="1" s="87"/>
    <row r="678" ht="15.75" customHeight="1" s="87"/>
    <row r="679" ht="15.75" customHeight="1" s="87"/>
    <row r="680" ht="15.75" customHeight="1" s="87"/>
    <row r="681" ht="15.75" customHeight="1" s="87"/>
    <row r="682" ht="15.75" customHeight="1" s="87"/>
    <row r="683" ht="15.75" customHeight="1" s="87"/>
    <row r="684" ht="15.75" customHeight="1" s="87"/>
    <row r="685" ht="15.75" customHeight="1" s="87"/>
    <row r="686" ht="15.75" customHeight="1" s="87"/>
    <row r="687" ht="15.75" customHeight="1" s="87"/>
    <row r="688" ht="15.75" customHeight="1" s="87"/>
    <row r="689" ht="15.75" customHeight="1" s="87"/>
    <row r="690" ht="15.75" customHeight="1" s="87"/>
    <row r="691" ht="15.75" customHeight="1" s="87"/>
    <row r="692" ht="15.75" customHeight="1" s="87"/>
    <row r="693" ht="15.75" customHeight="1" s="87"/>
    <row r="694" ht="15.75" customHeight="1" s="87"/>
    <row r="695" ht="15.75" customHeight="1" s="87"/>
    <row r="696" ht="15.75" customHeight="1" s="87"/>
    <row r="697" ht="15.75" customHeight="1" s="87"/>
    <row r="698" ht="15.75" customHeight="1" s="87"/>
    <row r="699" ht="15.75" customHeight="1" s="87"/>
    <row r="700" ht="15.75" customHeight="1" s="87"/>
    <row r="701" ht="15.75" customHeight="1" s="87"/>
    <row r="702" ht="15.75" customHeight="1" s="87"/>
    <row r="703" ht="15.75" customHeight="1" s="87"/>
    <row r="704" ht="15.75" customHeight="1" s="87"/>
    <row r="705" ht="15.75" customHeight="1" s="87"/>
    <row r="706" ht="15.75" customHeight="1" s="87"/>
    <row r="707" ht="15.75" customHeight="1" s="87"/>
    <row r="708" ht="15.75" customHeight="1" s="87"/>
    <row r="709" ht="15.75" customHeight="1" s="87"/>
    <row r="710" ht="15.75" customHeight="1" s="87"/>
    <row r="711" ht="15.75" customHeight="1" s="87"/>
    <row r="712" ht="15.75" customHeight="1" s="87"/>
    <row r="713" ht="15.75" customHeight="1" s="87"/>
    <row r="714" ht="15.75" customHeight="1" s="87"/>
    <row r="715" ht="15.75" customHeight="1" s="87"/>
    <row r="716" ht="15.75" customHeight="1" s="87"/>
    <row r="717" ht="15.75" customHeight="1" s="87"/>
    <row r="718" ht="15.75" customHeight="1" s="87"/>
    <row r="719" ht="15.75" customHeight="1" s="87"/>
    <row r="720" ht="15.75" customHeight="1" s="87"/>
    <row r="721" ht="15.75" customHeight="1" s="87"/>
    <row r="722" ht="15.75" customHeight="1" s="87"/>
    <row r="723" ht="15.75" customHeight="1" s="87"/>
    <row r="724" ht="15.75" customHeight="1" s="87"/>
    <row r="725" ht="15.75" customHeight="1" s="87"/>
    <row r="726" ht="15.75" customHeight="1" s="87"/>
    <row r="727" ht="15.75" customHeight="1" s="87"/>
    <row r="728" ht="15.75" customHeight="1" s="87"/>
    <row r="729" ht="15.75" customHeight="1" s="87"/>
    <row r="730" ht="15.75" customHeight="1" s="87"/>
    <row r="731" ht="15.75" customHeight="1" s="87"/>
    <row r="732" ht="15.75" customHeight="1" s="87"/>
    <row r="733" ht="15.75" customHeight="1" s="87"/>
    <row r="734" ht="15.75" customHeight="1" s="87"/>
    <row r="735" ht="15.75" customHeight="1" s="87"/>
    <row r="736" ht="15.75" customHeight="1" s="87"/>
    <row r="737" ht="15.75" customHeight="1" s="87"/>
    <row r="738" ht="15.75" customHeight="1" s="87"/>
    <row r="739" ht="15.75" customHeight="1" s="87"/>
    <row r="740" ht="15.75" customHeight="1" s="87"/>
    <row r="741" ht="15.75" customHeight="1" s="87"/>
    <row r="742" ht="15.75" customHeight="1" s="87"/>
    <row r="743" ht="15.75" customHeight="1" s="87"/>
    <row r="744" ht="15.75" customHeight="1" s="87"/>
    <row r="745" ht="15.75" customHeight="1" s="87"/>
    <row r="746" ht="15.75" customHeight="1" s="87"/>
    <row r="747" ht="15.75" customHeight="1" s="87"/>
    <row r="748" ht="15.75" customHeight="1" s="87"/>
    <row r="749" ht="15.75" customHeight="1" s="87"/>
    <row r="750" ht="15.75" customHeight="1" s="87"/>
    <row r="751" ht="15.75" customHeight="1" s="87"/>
    <row r="752" ht="15.75" customHeight="1" s="87"/>
    <row r="753" ht="15.75" customHeight="1" s="87"/>
    <row r="754" ht="15.75" customHeight="1" s="87"/>
    <row r="755" ht="15.75" customHeight="1" s="87"/>
    <row r="756" ht="15.75" customHeight="1" s="87"/>
    <row r="757" ht="15.75" customHeight="1" s="87"/>
    <row r="758" ht="15.75" customHeight="1" s="87"/>
    <row r="759" ht="15.75" customHeight="1" s="87"/>
    <row r="760" ht="15.75" customHeight="1" s="87"/>
    <row r="761" ht="15.75" customHeight="1" s="87"/>
    <row r="762" ht="15.75" customHeight="1" s="87"/>
    <row r="763" ht="15.75" customHeight="1" s="87"/>
    <row r="764" ht="15.75" customHeight="1" s="87"/>
    <row r="765" ht="15.75" customHeight="1" s="87"/>
    <row r="766" ht="15.75" customHeight="1" s="87"/>
    <row r="767" ht="15.75" customHeight="1" s="87"/>
    <row r="768" ht="15.75" customHeight="1" s="87"/>
    <row r="769" ht="15.75" customHeight="1" s="87"/>
    <row r="770" ht="15.75" customHeight="1" s="87"/>
    <row r="771" ht="15.75" customHeight="1" s="87"/>
    <row r="772" ht="15.75" customHeight="1" s="87"/>
    <row r="773" ht="15.75" customHeight="1" s="87"/>
    <row r="774" ht="15.75" customHeight="1" s="87"/>
    <row r="775" ht="15.75" customHeight="1" s="87"/>
    <row r="776" ht="15.75" customHeight="1" s="87"/>
    <row r="777" ht="15.75" customHeight="1" s="87"/>
    <row r="778" ht="15.75" customHeight="1" s="87"/>
    <row r="779" ht="15.75" customHeight="1" s="87"/>
    <row r="780" ht="15.75" customHeight="1" s="87"/>
    <row r="781" ht="15.75" customHeight="1" s="87"/>
    <row r="782" ht="15.75" customHeight="1" s="87"/>
    <row r="783" ht="15.75" customHeight="1" s="87"/>
    <row r="784" ht="15.75" customHeight="1" s="87"/>
    <row r="785" ht="15.75" customHeight="1" s="87"/>
    <row r="786" ht="15.75" customHeight="1" s="87"/>
    <row r="787" ht="15.75" customHeight="1" s="87"/>
    <row r="788" ht="15.75" customHeight="1" s="87"/>
    <row r="789" ht="15.75" customHeight="1" s="87"/>
    <row r="790" ht="15.75" customHeight="1" s="87"/>
    <row r="791" ht="15.75" customHeight="1" s="87"/>
    <row r="792" ht="15.75" customHeight="1" s="87"/>
    <row r="793" ht="15.75" customHeight="1" s="87"/>
    <row r="794" ht="15.75" customHeight="1" s="87"/>
    <row r="795" ht="15.75" customHeight="1" s="87"/>
    <row r="796" ht="15.75" customHeight="1" s="87"/>
    <row r="797" ht="15.75" customHeight="1" s="87"/>
    <row r="798" ht="15.75" customHeight="1" s="87"/>
    <row r="799" ht="15.75" customHeight="1" s="87"/>
    <row r="800" ht="15.75" customHeight="1" s="87"/>
    <row r="801" ht="15.75" customHeight="1" s="87"/>
    <row r="802" ht="15.75" customHeight="1" s="87"/>
    <row r="803" ht="15.75" customHeight="1" s="87"/>
    <row r="804" ht="15.75" customHeight="1" s="87"/>
    <row r="805" ht="15.75" customHeight="1" s="87"/>
    <row r="806" ht="15.75" customHeight="1" s="87"/>
    <row r="807" ht="15.75" customHeight="1" s="87"/>
    <row r="808" ht="15.75" customHeight="1" s="87"/>
    <row r="809" ht="15.75" customHeight="1" s="87"/>
    <row r="810" ht="15.75" customHeight="1" s="87"/>
    <row r="811" ht="15.75" customHeight="1" s="87"/>
    <row r="812" ht="15.75" customHeight="1" s="87"/>
    <row r="813" ht="15.75" customHeight="1" s="87"/>
    <row r="814" ht="15.75" customHeight="1" s="87"/>
    <row r="815" ht="15.75" customHeight="1" s="87"/>
    <row r="816" ht="15.75" customHeight="1" s="87"/>
    <row r="817" ht="15.75" customHeight="1" s="87"/>
    <row r="818" ht="15.75" customHeight="1" s="87"/>
    <row r="819" ht="15.75" customHeight="1" s="87"/>
    <row r="820" ht="15.75" customHeight="1" s="87"/>
    <row r="821" ht="15.75" customHeight="1" s="87"/>
    <row r="822" ht="15.75" customHeight="1" s="87"/>
    <row r="823" ht="15.75" customHeight="1" s="87"/>
    <row r="824" ht="15.75" customHeight="1" s="87"/>
    <row r="825" ht="15.75" customHeight="1" s="87"/>
    <row r="826" ht="15.75" customHeight="1" s="87"/>
    <row r="827" ht="15.75" customHeight="1" s="87"/>
    <row r="828" ht="15.75" customHeight="1" s="87"/>
    <row r="829" ht="15.75" customHeight="1" s="87"/>
    <row r="830" ht="15.75" customHeight="1" s="87"/>
    <row r="831" ht="15.75" customHeight="1" s="87"/>
    <row r="832" ht="15.75" customHeight="1" s="87"/>
    <row r="833" ht="15.75" customHeight="1" s="87"/>
    <row r="834" ht="15.75" customHeight="1" s="87"/>
    <row r="835" ht="15.75" customHeight="1" s="87"/>
    <row r="836" ht="15.75" customHeight="1" s="87"/>
    <row r="837" ht="15.75" customHeight="1" s="87"/>
    <row r="838" ht="15.75" customHeight="1" s="87"/>
    <row r="839" ht="15.75" customHeight="1" s="87"/>
    <row r="840" ht="15.75" customHeight="1" s="87"/>
    <row r="841" ht="15.75" customHeight="1" s="87"/>
    <row r="842" ht="15.75" customHeight="1" s="87"/>
    <row r="843" ht="15.75" customHeight="1" s="87"/>
    <row r="844" ht="15.75" customHeight="1" s="87"/>
    <row r="845" ht="15.75" customHeight="1" s="87"/>
    <row r="846" ht="15.75" customHeight="1" s="87"/>
    <row r="847" ht="15.75" customHeight="1" s="87"/>
    <row r="848" ht="15.75" customHeight="1" s="87"/>
    <row r="849" ht="15.75" customHeight="1" s="87"/>
    <row r="850" ht="15.75" customHeight="1" s="87"/>
    <row r="851" ht="15.75" customHeight="1" s="87"/>
    <row r="852" ht="15.75" customHeight="1" s="87"/>
    <row r="853" ht="15.75" customHeight="1" s="87"/>
    <row r="854" ht="15.75" customHeight="1" s="87"/>
    <row r="855" ht="15.75" customHeight="1" s="87"/>
    <row r="856" ht="15.75" customHeight="1" s="87"/>
    <row r="857" ht="15.75" customHeight="1" s="87"/>
    <row r="858" ht="15.75" customHeight="1" s="87"/>
    <row r="859" ht="15.75" customHeight="1" s="87"/>
    <row r="860" ht="15.75" customHeight="1" s="87"/>
    <row r="861" ht="15.75" customHeight="1" s="87"/>
    <row r="862" ht="15.75" customHeight="1" s="87"/>
    <row r="863" ht="15.75" customHeight="1" s="87"/>
    <row r="864" ht="15.75" customHeight="1" s="87"/>
    <row r="865" ht="15.75" customHeight="1" s="87"/>
    <row r="866" ht="15.75" customHeight="1" s="87"/>
    <row r="867" ht="15.75" customHeight="1" s="87"/>
    <row r="868" ht="15.75" customHeight="1" s="87"/>
    <row r="869" ht="15.75" customHeight="1" s="87"/>
    <row r="870" ht="15.75" customHeight="1" s="87"/>
    <row r="871" ht="15.75" customHeight="1" s="87"/>
    <row r="872" ht="15.75" customHeight="1" s="87"/>
    <row r="873" ht="15.75" customHeight="1" s="87"/>
    <row r="874" ht="15.75" customHeight="1" s="87"/>
    <row r="875" ht="15.75" customHeight="1" s="87"/>
    <row r="876" ht="15.75" customHeight="1" s="87"/>
    <row r="877" ht="15.75" customHeight="1" s="87"/>
    <row r="878" ht="15.75" customHeight="1" s="87"/>
    <row r="879" ht="15.75" customHeight="1" s="87"/>
    <row r="880" ht="15.75" customHeight="1" s="87"/>
    <row r="881" ht="15.75" customHeight="1" s="87"/>
    <row r="882" ht="15.75" customHeight="1" s="87"/>
    <row r="883" ht="15.75" customHeight="1" s="87"/>
    <row r="884" ht="15.75" customHeight="1" s="87"/>
    <row r="885" ht="15.75" customHeight="1" s="87"/>
    <row r="886" ht="15.75" customHeight="1" s="87"/>
    <row r="887" ht="15.75" customHeight="1" s="87"/>
    <row r="888" ht="15.75" customHeight="1" s="87"/>
    <row r="889" ht="15.75" customHeight="1" s="87"/>
    <row r="890" ht="15.75" customHeight="1" s="87"/>
    <row r="891" ht="15.75" customHeight="1" s="87"/>
    <row r="892" ht="15.75" customHeight="1" s="87"/>
    <row r="893" ht="15.75" customHeight="1" s="87"/>
    <row r="894" ht="15.75" customHeight="1" s="87"/>
    <row r="895" ht="15.75" customHeight="1" s="87"/>
    <row r="896" ht="15.75" customHeight="1" s="87"/>
    <row r="897" ht="15.75" customHeight="1" s="87"/>
    <row r="898" ht="15.75" customHeight="1" s="87"/>
    <row r="899" ht="15.75" customHeight="1" s="87"/>
    <row r="900" ht="15.75" customHeight="1" s="87"/>
    <row r="901" ht="15.75" customHeight="1" s="87"/>
    <row r="902" ht="15.75" customHeight="1" s="87"/>
    <row r="903" ht="15.75" customHeight="1" s="87"/>
    <row r="904" ht="15.75" customHeight="1" s="87"/>
    <row r="905" ht="15.75" customHeight="1" s="87"/>
    <row r="906" ht="15.75" customHeight="1" s="87"/>
    <row r="907" ht="15.75" customHeight="1" s="87"/>
    <row r="908" ht="15.75" customHeight="1" s="87"/>
    <row r="909" ht="15.75" customHeight="1" s="87"/>
    <row r="910" ht="15.75" customHeight="1" s="87"/>
    <row r="911" ht="15.75" customHeight="1" s="87"/>
    <row r="912" ht="15.75" customHeight="1" s="87"/>
    <row r="913" ht="15.75" customHeight="1" s="87"/>
    <row r="914" ht="15.75" customHeight="1" s="87"/>
    <row r="915" ht="15.75" customHeight="1" s="87"/>
    <row r="916" ht="15.75" customHeight="1" s="87"/>
    <row r="917" ht="15.75" customHeight="1" s="87"/>
    <row r="918" ht="15.75" customHeight="1" s="87"/>
    <row r="919" ht="15.75" customHeight="1" s="87"/>
    <row r="920" ht="15.75" customHeight="1" s="87"/>
    <row r="921" ht="15.75" customHeight="1" s="87"/>
    <row r="922" ht="15.75" customHeight="1" s="87"/>
    <row r="923" ht="15.75" customHeight="1" s="87"/>
    <row r="924" ht="15.75" customHeight="1" s="87"/>
    <row r="925" ht="15.75" customHeight="1" s="87"/>
    <row r="926" ht="15.75" customHeight="1" s="87"/>
    <row r="927" ht="15.75" customHeight="1" s="87"/>
    <row r="928" ht="15.75" customHeight="1" s="87"/>
    <row r="929" ht="15.75" customHeight="1" s="87"/>
    <row r="930" ht="15.75" customHeight="1" s="87"/>
    <row r="931" ht="15.75" customHeight="1" s="87"/>
    <row r="932" ht="15.75" customHeight="1" s="87"/>
    <row r="933" ht="15.75" customHeight="1" s="87"/>
    <row r="934" ht="15.75" customHeight="1" s="87"/>
    <row r="935" ht="15.75" customHeight="1" s="87"/>
    <row r="936" ht="15.75" customHeight="1" s="87"/>
    <row r="937" ht="15.75" customHeight="1" s="87"/>
    <row r="938" ht="15.75" customHeight="1" s="87"/>
    <row r="939" ht="15.75" customHeight="1" s="87"/>
    <row r="940" ht="15.75" customHeight="1" s="87"/>
    <row r="941" ht="15.75" customHeight="1" s="87"/>
    <row r="942" ht="15.75" customHeight="1" s="87"/>
    <row r="943" ht="15.75" customHeight="1" s="87"/>
    <row r="944" ht="15.75" customHeight="1" s="87"/>
    <row r="945" ht="15.75" customHeight="1" s="87"/>
    <row r="946" ht="15.75" customHeight="1" s="87"/>
    <row r="947" ht="15.75" customHeight="1" s="87"/>
    <row r="948" ht="15.75" customHeight="1" s="87"/>
    <row r="949" ht="15.75" customHeight="1" s="87"/>
    <row r="950" ht="15.75" customHeight="1" s="87"/>
    <row r="951" ht="15.75" customHeight="1" s="87"/>
    <row r="952" ht="15.75" customHeight="1" s="87"/>
    <row r="953" ht="15.75" customHeight="1" s="87"/>
    <row r="954" ht="15.75" customHeight="1" s="87"/>
    <row r="955" ht="15.75" customHeight="1" s="87"/>
    <row r="956" ht="15.75" customHeight="1" s="87"/>
    <row r="957" ht="15.75" customHeight="1" s="87"/>
    <row r="958" ht="15.75" customHeight="1" s="87"/>
    <row r="959" ht="15.75" customHeight="1" s="87"/>
    <row r="960" ht="15.75" customHeight="1" s="87"/>
    <row r="961" ht="15.75" customHeight="1" s="87"/>
    <row r="962" ht="15.75" customHeight="1" s="87"/>
    <row r="963" ht="15.75" customHeight="1" s="87"/>
    <row r="964" ht="15.75" customHeight="1" s="87"/>
    <row r="965" ht="15.75" customHeight="1" s="87"/>
    <row r="966" ht="15.75" customHeight="1" s="87"/>
    <row r="967" ht="15.75" customHeight="1" s="87"/>
    <row r="968" ht="15.75" customHeight="1" s="87"/>
    <row r="969" ht="15.75" customHeight="1" s="87"/>
    <row r="970" ht="15.75" customHeight="1" s="87"/>
    <row r="971" ht="15.75" customHeight="1" s="87"/>
    <row r="972" ht="15.75" customHeight="1" s="87"/>
    <row r="973" ht="15.75" customHeight="1" s="87"/>
    <row r="974" ht="15.75" customHeight="1" s="87"/>
    <row r="975" ht="15.75" customHeight="1" s="87"/>
    <row r="976" ht="15.75" customHeight="1" s="87"/>
    <row r="977" ht="15.75" customHeight="1" s="87"/>
    <row r="978" ht="15.75" customHeight="1" s="87"/>
    <row r="979" ht="15.75" customHeight="1" s="87"/>
    <row r="980" ht="15.75" customHeight="1" s="87"/>
    <row r="981" ht="15.75" customHeight="1" s="87"/>
    <row r="982" ht="15.75" customHeight="1" s="87"/>
    <row r="983" ht="15.75" customHeight="1" s="87"/>
    <row r="984" ht="15.75" customHeight="1" s="87"/>
    <row r="985" ht="15.75" customHeight="1" s="87"/>
    <row r="986" ht="15.75" customHeight="1" s="87"/>
    <row r="987" ht="15.75" customHeight="1" s="87"/>
    <row r="988" ht="15.75" customHeight="1" s="87"/>
    <row r="989" ht="15.75" customHeight="1" s="87"/>
    <row r="990" ht="15.75" customHeight="1" s="87"/>
    <row r="991" ht="15.75" customHeight="1" s="87"/>
    <row r="992" ht="15.75" customHeight="1" s="87"/>
    <row r="993" ht="15.75" customHeight="1" s="87"/>
    <row r="994" ht="15.75" customHeight="1" s="87"/>
    <row r="995" ht="15.75" customHeight="1" s="87"/>
    <row r="996" ht="15.75" customHeight="1" s="87"/>
    <row r="997" ht="15.75" customHeight="1" s="87"/>
    <row r="998" ht="15.75" customHeight="1" s="87"/>
    <row r="999" ht="15.75" customHeight="1" s="87"/>
    <row r="1000" ht="15.75" customHeight="1" s="87"/>
  </sheetData>
  <mergeCells count="5">
    <mergeCell ref="A1:D1"/>
    <mergeCell ref="A3:D3"/>
    <mergeCell ref="A25:D25"/>
    <mergeCell ref="A19:D19"/>
    <mergeCell ref="A13:D13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>
    <row r="1">
      <c r="A1" s="162" t="inlineStr">
        <is>
          <t>WYKRESY (runway &amp; ARR)</t>
        </is>
      </c>
    </row>
  </sheetData>
  <pageMargins left="0.75" right="0.75" top="1" bottom="1" header="0.5" footer="0.5"/>
  <drawing xmlns:r="http://schemas.openxmlformats.org/officeDocument/2006/relationships" r:id="rId1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38" customWidth="1" style="87" min="1" max="1"/>
    <col width="14" customWidth="1" style="87" min="2" max="2"/>
    <col width="18" customWidth="1" style="87" min="3" max="3"/>
    <col width="42" customWidth="1" style="87" min="4" max="4"/>
  </cols>
  <sheetData>
    <row r="1">
      <c r="A1" s="162" t="inlineStr">
        <is>
          <t>USE OF FUNDS – SERIES A (OPTIONAL)</t>
        </is>
      </c>
    </row>
    <row r="3">
      <c r="A3" s="163" t="inlineStr">
        <is>
          <t>Kategoria</t>
        </is>
      </c>
      <c r="B3" s="163" t="inlineStr">
        <is>
          <t>Udział (%)</t>
        </is>
      </c>
      <c r="C3" s="163" t="inlineStr">
        <is>
          <t>Kwota (EUR)</t>
        </is>
      </c>
      <c r="D3" s="163" t="inlineStr">
        <is>
          <t>Cel strategiczny</t>
        </is>
      </c>
    </row>
    <row r="4">
      <c r="A4" s="173" t="inlineStr">
        <is>
          <t>Headcount (ML, Engineering, Sales)</t>
        </is>
      </c>
      <c r="B4" s="192" t="n">
        <v>0.55</v>
      </c>
      <c r="C4" s="165">
        <f>Input!$B33*B4</f>
        <v/>
      </c>
      <c r="D4" s="173" t="inlineStr">
        <is>
          <t>Skalowanie delivery i sprzedaży</t>
        </is>
      </c>
    </row>
    <row r="5">
      <c r="A5" s="173" t="inlineStr">
        <is>
          <t>Sales &amp; Go-to-Market</t>
        </is>
      </c>
      <c r="B5" s="192" t="n">
        <v>0.2</v>
      </c>
      <c r="C5" s="165">
        <f>Input!$B33*B5</f>
        <v/>
      </c>
      <c r="D5" s="173" t="inlineStr">
        <is>
          <t>Budowa pipeline enterprise</t>
        </is>
      </c>
    </row>
    <row r="6">
      <c r="A6" s="173" t="inlineStr">
        <is>
          <t>Infra, compliance &amp; security</t>
        </is>
      </c>
      <c r="B6" s="192" t="n">
        <v>0.15</v>
      </c>
      <c r="C6" s="165">
        <f>Input!$B33*B6</f>
        <v/>
      </c>
      <c r="D6" s="173" t="inlineStr">
        <is>
          <t>ISO 27001, infra pod instytucje regulowane</t>
        </is>
      </c>
    </row>
    <row r="7">
      <c r="A7" s="173" t="inlineStr">
        <is>
          <t>Buffer / optional expansion</t>
        </is>
      </c>
      <c r="B7" s="192" t="n">
        <v>0.1</v>
      </c>
      <c r="C7" s="165">
        <f>Input!$B33*B7</f>
        <v/>
      </c>
      <c r="D7" s="173" t="inlineStr">
        <is>
          <t>Kontrola ryzyka i runway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2026-01-22T12:55:33Z</dcterms:created>
  <dcterms:modified xmlns:dcterms="http://purl.org/dc/terms/" xmlns:xsi="http://www.w3.org/2001/XMLSchema-instance" xsi:type="dcterms:W3CDTF">2026-01-23T00:38:48Z</dcterms:modified>
</cp:coreProperties>
</file>